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Transactions" sheetId="2" state="visible" r:id="rId2"/>
    <sheet xmlns:r="http://schemas.openxmlformats.org/officeDocument/2006/relationships" name="Budget" sheetId="3" state="visible" r:id="rId3"/>
    <sheet xmlns:r="http://schemas.openxmlformats.org/officeDocument/2006/relationships" name="How to use" sheetId="4" state="visible" r:id="rId4"/>
  </sheets>
  <definedNames>
    <definedName name="CategoryList">Budget!$A$5:$A$14</definedName>
    <definedName name="_xlnm.Print_Area" localSheetId="0">'Dashboard'!$A$1:$M$43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;[Red]-&quot;$&quot;#,##0"/>
    <numFmt numFmtId="165" formatCode="yyyy-mm-dd"/>
    <numFmt numFmtId="166" formatCode="&quot;$&quot;#,##0.00;[Red]-&quot;$&quot;#,##0.00"/>
    <numFmt numFmtId="167" formatCode="0.0%"/>
    <numFmt numFmtId="168" formatCode="&quot;$&quot;#,##0;-&quot;$&quot;#,##0"/>
  </numFmts>
  <fonts count="15">
    <font>
      <name val="Calibri"/>
      <family val="2"/>
      <color theme="1"/>
      <sz val="11"/>
      <scheme val="minor"/>
    </font>
    <font>
      <name val="Carlito"/>
      <b val="1"/>
      <color rgb="001F3A68"/>
      <sz val="14"/>
    </font>
    <font>
      <name val="Carlito"/>
      <i val="1"/>
      <color rgb="009C3D2E"/>
    </font>
    <font>
      <name val="Carlito"/>
      <b val="1"/>
      <color rgb="00FFFFFF"/>
      <sz val="11"/>
    </font>
    <font>
      <name val="Carlito"/>
      <color rgb="001F4FB4"/>
    </font>
    <font>
      <name val="Carlito"/>
      <b val="1"/>
      <color rgb="00FFFFFF"/>
    </font>
    <font>
      <name val="Carlito"/>
      <color rgb="001D1D1F"/>
    </font>
    <font>
      <name val="Carlito"/>
    </font>
    <font>
      <name val="Carlito"/>
      <b val="1"/>
      <color rgb="001F3A68"/>
      <sz val="18"/>
    </font>
    <font>
      <name val="Carlito"/>
      <i val="1"/>
      <color rgb="009C3D2E"/>
      <sz val="10"/>
    </font>
    <font>
      <name val="Carlito"/>
      <b val="1"/>
      <color rgb="001F3A68"/>
      <sz val="12"/>
    </font>
    <font>
      <name val="Carlito"/>
      <b val="1"/>
    </font>
    <font>
      <name val="Carlito"/>
      <b val="1"/>
      <sz val="12"/>
    </font>
    <font>
      <name val="Carlito"/>
      <i val="1"/>
      <color rgb="005F5F66"/>
      <sz val="9"/>
    </font>
    <font>
      <name val="Carlito"/>
      <sz val="11"/>
    </font>
  </fonts>
  <fills count="5">
    <fill>
      <patternFill/>
    </fill>
    <fill>
      <patternFill patternType="gray125"/>
    </fill>
    <fill>
      <patternFill patternType="solid">
        <fgColor rgb="001F3A68"/>
      </patternFill>
    </fill>
    <fill>
      <patternFill patternType="solid">
        <fgColor rgb="00F6F4EF"/>
      </patternFill>
    </fill>
    <fill>
      <patternFill patternType="solid">
        <fgColor rgb="00E9C87A"/>
      </patternFill>
    </fill>
  </fills>
  <borders count="2">
    <border>
      <left/>
      <right/>
      <top/>
      <bottom/>
      <diagonal/>
    </border>
    <border>
      <left style="thin">
        <color rgb="00D9D4CA"/>
      </left>
      <right style="thin">
        <color rgb="00D9D4CA"/>
      </right>
      <top style="thin">
        <color rgb="00D9D4CA"/>
      </top>
      <bottom style="thin">
        <color rgb="00D9D4CA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3" borderId="1" pivotButton="0" quotePrefix="0" xfId="0"/>
    <xf numFmtId="166" fontId="12" fillId="3" borderId="1" pivotButton="0" quotePrefix="0" xfId="0"/>
    <xf numFmtId="167" fontId="12" fillId="3" borderId="1" pivotButton="0" quotePrefix="0" xfId="0"/>
    <xf numFmtId="0" fontId="3" fillId="2" borderId="0" applyAlignment="1" pivotButton="0" quotePrefix="0" xfId="0">
      <alignment horizontal="center" wrapText="1"/>
    </xf>
    <xf numFmtId="0" fontId="7" fillId="0" borderId="1" pivotButton="0" quotePrefix="0" xfId="0"/>
    <xf numFmtId="164" fontId="7" fillId="0" borderId="1" pivotButton="0" quotePrefix="0" xfId="0"/>
    <xf numFmtId="168" fontId="7" fillId="0" borderId="1" pivotButton="0" quotePrefix="0" xfId="0"/>
    <xf numFmtId="9" fontId="7" fillId="0" borderId="1" pivotButton="0" quotePrefix="0" xfId="0"/>
    <xf numFmtId="0" fontId="13" fillId="0" borderId="0" pivotButton="0" quotePrefix="0" xfId="0"/>
    <xf numFmtId="0" fontId="11" fillId="4" borderId="1" pivotButton="0" quotePrefix="0" xfId="0"/>
    <xf numFmtId="164" fontId="11" fillId="4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165" fontId="7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0" fontId="5" fillId="2" borderId="1" applyAlignment="1" pivotButton="0" quotePrefix="0" xfId="0">
      <alignment horizontal="center"/>
    </xf>
    <xf numFmtId="0" fontId="3" fillId="2" borderId="1" applyAlignment="1" pivotButton="0" quotePrefix="0" xfId="0">
      <alignment horizontal="center"/>
    </xf>
    <xf numFmtId="0" fontId="6" fillId="0" borderId="1" pivotButton="0" quotePrefix="0" xfId="0"/>
    <xf numFmtId="164" fontId="4" fillId="0" borderId="1" pivotButton="0" quotePrefix="0" xfId="0"/>
    <xf numFmtId="164" fontId="0" fillId="0" borderId="1" pivotButton="0" quotePrefix="0" xfId="0"/>
    <xf numFmtId="0" fontId="14" fillId="0" borderId="0" pivotButton="0" quotePrefix="0" xfId="0"/>
  </cellXfs>
  <cellStyles count="1">
    <cellStyle name="Normal" xfId="0" builtinId="0" hidden="0"/>
  </cellStyles>
  <dxfs count="3">
    <dxf>
      <font>
        <b val="1"/>
        <color rgb="009C3D2E"/>
      </font>
      <fill>
        <patternFill patternType="solid">
          <fgColor rgb="00F8D7D0"/>
        </patternFill>
      </fill>
    </dxf>
    <dxf>
      <font>
        <b val="1"/>
        <color rgb="001E6B3A"/>
      </font>
      <fill>
        <patternFill patternType="solid">
          <fgColor rgb="00DCEFE2"/>
        </patternFill>
      </fill>
    </dxf>
    <dxf>
      <font>
        <b val="1"/>
        <color rgb="009C3D2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Income vs expenses by month (example data)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'Dashboard'!B11</f>
            </strRef>
          </tx>
          <spPr>
            <a:solidFill xmlns:a="http://schemas.openxmlformats.org/drawingml/2006/main">
              <a:srgbClr val="1F3A68"/>
            </a:solidFill>
            <a:ln xmlns:a="http://schemas.openxmlformats.org/drawingml/2006/main">
              <a:prstDash val="solid"/>
            </a:ln>
          </spPr>
          <cat>
            <numRef>
              <f>'Dashboard'!$A$12:$A$23</f>
            </numRef>
          </cat>
          <val>
            <numRef>
              <f>'Dashboard'!$B$12:$B$23</f>
            </numRef>
          </val>
        </ser>
        <ser>
          <idx val="1"/>
          <order val="1"/>
          <tx>
            <strRef>
              <f>'Dashboard'!C11</f>
            </strRef>
          </tx>
          <spPr>
            <a:solidFill xmlns:a="http://schemas.openxmlformats.org/drawingml/2006/main">
              <a:srgbClr val="E9C87A"/>
            </a:solidFill>
            <a:ln xmlns:a="http://schemas.openxmlformats.org/drawingml/2006/main">
              <a:prstDash val="solid"/>
            </a:ln>
          </spPr>
          <cat>
            <numRef>
              <f>'Dashboard'!$A$12:$A$23</f>
            </numRef>
          </cat>
          <val>
            <numRef>
              <f>'Dashboard'!$C$12:$C$23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numFmt formatCode="&quot;$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774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ransactions" displayName="Transactions" ref="A4:F147" headerRowCount="1">
  <autoFilter ref="A4:F147"/>
  <tableColumns count="6">
    <tableColumn id="1" name="Date"/>
    <tableColumn id="2" name="Description"/>
    <tableColumn id="3" name="Category"/>
    <tableColumn id="4" name="Amount"/>
    <tableColumn id="5" name="Type"/>
    <tableColumn id="6" name="Month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F3A68"/>
    <outlinePr summaryBelow="1" summaryRight="1"/>
    <pageSetUpPr fitToPage="1"/>
  </sheetPr>
  <dimension ref="A1:M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4" customWidth="1" min="5" max="5"/>
    <col width="15" customWidth="1" min="6" max="6"/>
    <col width="3" customWidth="1" min="7" max="7"/>
    <col width="24" customWidth="1" min="8" max="8"/>
    <col width="10" customWidth="1" min="9" max="9"/>
    <col width="13" customWidth="1" min="10" max="10"/>
    <col width="13" customWidth="1" min="11" max="11"/>
    <col width="13" customWidth="1" min="12" max="12"/>
    <col width="14" customWidth="1" min="13" max="13"/>
  </cols>
  <sheetData>
    <row r="1">
      <c r="A1" s="1" t="inlineStr">
        <is>
          <t>Bramblecask Bakeshop · 2026 Budget Tracker</t>
        </is>
      </c>
    </row>
    <row r="2">
      <c r="A2" s="2" t="inlineStr">
        <is>
          <t>EXAMPLE DATA: fictional bakery, invented numbers. Sample written for portfolio purposes; not client work.</t>
        </is>
      </c>
    </row>
    <row r="4">
      <c r="A4" s="3" t="inlineStr">
        <is>
          <t>Year to date</t>
        </is>
      </c>
    </row>
    <row r="5">
      <c r="A5" s="4" t="inlineStr">
        <is>
          <t>Income</t>
        </is>
      </c>
      <c r="B5" s="5">
        <f>SUMIFS(Transactions!$D$5:$D$147,Transactions!$E$5:$E$147,"Income")</f>
        <v/>
      </c>
    </row>
    <row r="6">
      <c r="A6" s="4" t="inlineStr">
        <is>
          <t>Expenses</t>
        </is>
      </c>
      <c r="B6" s="5">
        <f>SUMIFS(Transactions!$D$5:$D$147,Transactions!$E$5:$E$147,"Expense")</f>
        <v/>
      </c>
    </row>
    <row r="7">
      <c r="A7" s="4" t="inlineStr">
        <is>
          <t>Net profit</t>
        </is>
      </c>
      <c r="B7" s="5">
        <f>B5-B6</f>
        <v/>
      </c>
    </row>
    <row r="8">
      <c r="A8" s="4" t="inlineStr">
        <is>
          <t>Profit margin</t>
        </is>
      </c>
      <c r="B8" s="6">
        <f>IF(B5=0,0,B7/B5)</f>
        <v/>
      </c>
    </row>
    <row r="10">
      <c r="A10" s="3" t="inlineStr">
        <is>
          <t>By month</t>
        </is>
      </c>
      <c r="H10" s="3" t="inlineStr">
        <is>
          <t>By category (year to date)</t>
        </is>
      </c>
    </row>
    <row r="11" ht="32" customHeight="1">
      <c r="A11" s="7" t="inlineStr">
        <is>
          <t>Month</t>
        </is>
      </c>
      <c r="B11" s="7" t="inlineStr">
        <is>
          <t>Income</t>
        </is>
      </c>
      <c r="C11" s="7" t="inlineStr">
        <is>
          <t>Expenses</t>
        </is>
      </c>
      <c r="D11" s="7" t="inlineStr">
        <is>
          <t>Net</t>
        </is>
      </c>
      <c r="E11" s="7" t="inlineStr">
        <is>
          <t>Expense budget</t>
        </is>
      </c>
      <c r="F11" s="7" t="inlineStr">
        <is>
          <t>Over / under budget</t>
        </is>
      </c>
      <c r="H11" s="7" t="inlineStr">
        <is>
          <t>Category</t>
        </is>
      </c>
      <c r="I11" s="7" t="inlineStr">
        <is>
          <t>Type</t>
        </is>
      </c>
      <c r="J11" s="7" t="inlineStr">
        <is>
          <t>Annual budget</t>
        </is>
      </c>
      <c r="K11" s="7" t="inlineStr">
        <is>
          <t>Actual YTD</t>
        </is>
      </c>
      <c r="L11" s="7" t="inlineStr">
        <is>
          <t>Remaining</t>
        </is>
      </c>
      <c r="M11" s="7" t="inlineStr">
        <is>
          <t>% of annual budget</t>
        </is>
      </c>
    </row>
    <row r="12">
      <c r="A12" s="8" t="inlineStr">
        <is>
          <t>Jan</t>
        </is>
      </c>
      <c r="B12" s="9">
        <f>SUMIFS(Transactions!$D$5:$D$147,Transactions!$E$5:$E$147,"Income",Transactions!$F$5:$F$147,1)</f>
        <v/>
      </c>
      <c r="C12" s="9">
        <f>SUMIFS(Transactions!$D$5:$D$147,Transactions!$E$5:$E$147,"Expense",Transactions!$F$5:$F$147,1)</f>
        <v/>
      </c>
      <c r="D12" s="9">
        <f>B12-C12</f>
        <v/>
      </c>
      <c r="E12" s="9">
        <f>SUMIFS(Budget!$C$5:$C$14,Budget!$B$5:$B$14,"Expense")</f>
        <v/>
      </c>
      <c r="F12" s="10">
        <f>IF(C12=0,"",C12-E12)</f>
        <v/>
      </c>
      <c r="H12" s="8">
        <f>Budget!A5</f>
        <v/>
      </c>
      <c r="I12" s="8">
        <f>Budget!B5</f>
        <v/>
      </c>
      <c r="J12" s="9">
        <f>Budget!D5</f>
        <v/>
      </c>
      <c r="K12" s="9">
        <f>SUMIFS(Transactions!$D$5:$D$147,Transactions!$C$5:$C$147,H12)</f>
        <v/>
      </c>
      <c r="L12" s="9">
        <f>J12-K12</f>
        <v/>
      </c>
      <c r="M12" s="11">
        <f>IF(J12=0,0,K12/J12)</f>
        <v/>
      </c>
    </row>
    <row r="13">
      <c r="A13" s="8" t="inlineStr">
        <is>
          <t>Feb</t>
        </is>
      </c>
      <c r="B13" s="9">
        <f>SUMIFS(Transactions!$D$5:$D$147,Transactions!$E$5:$E$147,"Income",Transactions!$F$5:$F$147,2)</f>
        <v/>
      </c>
      <c r="C13" s="9">
        <f>SUMIFS(Transactions!$D$5:$D$147,Transactions!$E$5:$E$147,"Expense",Transactions!$F$5:$F$147,2)</f>
        <v/>
      </c>
      <c r="D13" s="9">
        <f>B13-C13</f>
        <v/>
      </c>
      <c r="E13" s="9">
        <f>SUMIFS(Budget!$C$5:$C$14,Budget!$B$5:$B$14,"Expense")</f>
        <v/>
      </c>
      <c r="F13" s="10">
        <f>IF(C13=0,"",C13-E13)</f>
        <v/>
      </c>
      <c r="H13" s="8">
        <f>Budget!A6</f>
        <v/>
      </c>
      <c r="I13" s="8">
        <f>Budget!B6</f>
        <v/>
      </c>
      <c r="J13" s="9">
        <f>Budget!D6</f>
        <v/>
      </c>
      <c r="K13" s="9">
        <f>SUMIFS(Transactions!$D$5:$D$147,Transactions!$C$5:$C$147,H13)</f>
        <v/>
      </c>
      <c r="L13" s="9">
        <f>J13-K13</f>
        <v/>
      </c>
      <c r="M13" s="11">
        <f>IF(J13=0,0,K13/J13)</f>
        <v/>
      </c>
    </row>
    <row r="14">
      <c r="A14" s="8" t="inlineStr">
        <is>
          <t>Mar</t>
        </is>
      </c>
      <c r="B14" s="9">
        <f>SUMIFS(Transactions!$D$5:$D$147,Transactions!$E$5:$E$147,"Income",Transactions!$F$5:$F$147,3)</f>
        <v/>
      </c>
      <c r="C14" s="9">
        <f>SUMIFS(Transactions!$D$5:$D$147,Transactions!$E$5:$E$147,"Expense",Transactions!$F$5:$F$147,3)</f>
        <v/>
      </c>
      <c r="D14" s="9">
        <f>B14-C14</f>
        <v/>
      </c>
      <c r="E14" s="9">
        <f>SUMIFS(Budget!$C$5:$C$14,Budget!$B$5:$B$14,"Expense")</f>
        <v/>
      </c>
      <c r="F14" s="10">
        <f>IF(C14=0,"",C14-E14)</f>
        <v/>
      </c>
      <c r="H14" s="8">
        <f>Budget!A7</f>
        <v/>
      </c>
      <c r="I14" s="8">
        <f>Budget!B7</f>
        <v/>
      </c>
      <c r="J14" s="9">
        <f>Budget!D7</f>
        <v/>
      </c>
      <c r="K14" s="9">
        <f>SUMIFS(Transactions!$D$5:$D$147,Transactions!$C$5:$C$147,H14)</f>
        <v/>
      </c>
      <c r="L14" s="9">
        <f>J14-K14</f>
        <v/>
      </c>
      <c r="M14" s="11">
        <f>IF(J14=0,0,K14/J14)</f>
        <v/>
      </c>
    </row>
    <row r="15">
      <c r="A15" s="8" t="inlineStr">
        <is>
          <t>Apr</t>
        </is>
      </c>
      <c r="B15" s="9">
        <f>SUMIFS(Transactions!$D$5:$D$147,Transactions!$E$5:$E$147,"Income",Transactions!$F$5:$F$147,4)</f>
        <v/>
      </c>
      <c r="C15" s="9">
        <f>SUMIFS(Transactions!$D$5:$D$147,Transactions!$E$5:$E$147,"Expense",Transactions!$F$5:$F$147,4)</f>
        <v/>
      </c>
      <c r="D15" s="9">
        <f>B15-C15</f>
        <v/>
      </c>
      <c r="E15" s="9">
        <f>SUMIFS(Budget!$C$5:$C$14,Budget!$B$5:$B$14,"Expense")</f>
        <v/>
      </c>
      <c r="F15" s="10">
        <f>IF(C15=0,"",C15-E15)</f>
        <v/>
      </c>
      <c r="H15" s="8">
        <f>Budget!A8</f>
        <v/>
      </c>
      <c r="I15" s="8">
        <f>Budget!B8</f>
        <v/>
      </c>
      <c r="J15" s="9">
        <f>Budget!D8</f>
        <v/>
      </c>
      <c r="K15" s="9">
        <f>SUMIFS(Transactions!$D$5:$D$147,Transactions!$C$5:$C$147,H15)</f>
        <v/>
      </c>
      <c r="L15" s="9">
        <f>J15-K15</f>
        <v/>
      </c>
      <c r="M15" s="11">
        <f>IF(J15=0,0,K15/J15)</f>
        <v/>
      </c>
    </row>
    <row r="16">
      <c r="A16" s="8" t="inlineStr">
        <is>
          <t>May</t>
        </is>
      </c>
      <c r="B16" s="9">
        <f>SUMIFS(Transactions!$D$5:$D$147,Transactions!$E$5:$E$147,"Income",Transactions!$F$5:$F$147,5)</f>
        <v/>
      </c>
      <c r="C16" s="9">
        <f>SUMIFS(Transactions!$D$5:$D$147,Transactions!$E$5:$E$147,"Expense",Transactions!$F$5:$F$147,5)</f>
        <v/>
      </c>
      <c r="D16" s="9">
        <f>B16-C16</f>
        <v/>
      </c>
      <c r="E16" s="9">
        <f>SUMIFS(Budget!$C$5:$C$14,Budget!$B$5:$B$14,"Expense")</f>
        <v/>
      </c>
      <c r="F16" s="10">
        <f>IF(C16=0,"",C16-E16)</f>
        <v/>
      </c>
      <c r="H16" s="8">
        <f>Budget!A9</f>
        <v/>
      </c>
      <c r="I16" s="8">
        <f>Budget!B9</f>
        <v/>
      </c>
      <c r="J16" s="9">
        <f>Budget!D9</f>
        <v/>
      </c>
      <c r="K16" s="9">
        <f>SUMIFS(Transactions!$D$5:$D$147,Transactions!$C$5:$C$147,H16)</f>
        <v/>
      </c>
      <c r="L16" s="9">
        <f>J16-K16</f>
        <v/>
      </c>
      <c r="M16" s="11">
        <f>IF(J16=0,0,K16/J16)</f>
        <v/>
      </c>
    </row>
    <row r="17">
      <c r="A17" s="8" t="inlineStr">
        <is>
          <t>Jun</t>
        </is>
      </c>
      <c r="B17" s="9">
        <f>SUMIFS(Transactions!$D$5:$D$147,Transactions!$E$5:$E$147,"Income",Transactions!$F$5:$F$147,6)</f>
        <v/>
      </c>
      <c r="C17" s="9">
        <f>SUMIFS(Transactions!$D$5:$D$147,Transactions!$E$5:$E$147,"Expense",Transactions!$F$5:$F$147,6)</f>
        <v/>
      </c>
      <c r="D17" s="9">
        <f>B17-C17</f>
        <v/>
      </c>
      <c r="E17" s="9">
        <f>SUMIFS(Budget!$C$5:$C$14,Budget!$B$5:$B$14,"Expense")</f>
        <v/>
      </c>
      <c r="F17" s="10">
        <f>IF(C17=0,"",C17-E17)</f>
        <v/>
      </c>
      <c r="H17" s="8">
        <f>Budget!A10</f>
        <v/>
      </c>
      <c r="I17" s="8">
        <f>Budget!B10</f>
        <v/>
      </c>
      <c r="J17" s="9">
        <f>Budget!D10</f>
        <v/>
      </c>
      <c r="K17" s="9">
        <f>SUMIFS(Transactions!$D$5:$D$147,Transactions!$C$5:$C$147,H17)</f>
        <v/>
      </c>
      <c r="L17" s="9">
        <f>J17-K17</f>
        <v/>
      </c>
      <c r="M17" s="11">
        <f>IF(J17=0,0,K17/J17)</f>
        <v/>
      </c>
    </row>
    <row r="18">
      <c r="A18" s="8" t="inlineStr">
        <is>
          <t>Jul</t>
        </is>
      </c>
      <c r="B18" s="9">
        <f>SUMIFS(Transactions!$D$5:$D$147,Transactions!$E$5:$E$147,"Income",Transactions!$F$5:$F$147,7)</f>
        <v/>
      </c>
      <c r="C18" s="9">
        <f>SUMIFS(Transactions!$D$5:$D$147,Transactions!$E$5:$E$147,"Expense",Transactions!$F$5:$F$147,7)</f>
        <v/>
      </c>
      <c r="D18" s="9">
        <f>B18-C18</f>
        <v/>
      </c>
      <c r="E18" s="9">
        <f>SUMIFS(Budget!$C$5:$C$14,Budget!$B$5:$B$14,"Expense")</f>
        <v/>
      </c>
      <c r="F18" s="10">
        <f>IF(C18=0,"",C18-E18)</f>
        <v/>
      </c>
      <c r="H18" s="8">
        <f>Budget!A11</f>
        <v/>
      </c>
      <c r="I18" s="8">
        <f>Budget!B11</f>
        <v/>
      </c>
      <c r="J18" s="9">
        <f>Budget!D11</f>
        <v/>
      </c>
      <c r="K18" s="9">
        <f>SUMIFS(Transactions!$D$5:$D$147,Transactions!$C$5:$C$147,H18)</f>
        <v/>
      </c>
      <c r="L18" s="9">
        <f>J18-K18</f>
        <v/>
      </c>
      <c r="M18" s="11">
        <f>IF(J18=0,0,K18/J18)</f>
        <v/>
      </c>
    </row>
    <row r="19">
      <c r="A19" s="8" t="inlineStr">
        <is>
          <t>Aug</t>
        </is>
      </c>
      <c r="B19" s="9">
        <f>SUMIFS(Transactions!$D$5:$D$147,Transactions!$E$5:$E$147,"Income",Transactions!$F$5:$F$147,8)</f>
        <v/>
      </c>
      <c r="C19" s="9">
        <f>SUMIFS(Transactions!$D$5:$D$147,Transactions!$E$5:$E$147,"Expense",Transactions!$F$5:$F$147,8)</f>
        <v/>
      </c>
      <c r="D19" s="9">
        <f>B19-C19</f>
        <v/>
      </c>
      <c r="E19" s="9">
        <f>SUMIFS(Budget!$C$5:$C$14,Budget!$B$5:$B$14,"Expense")</f>
        <v/>
      </c>
      <c r="F19" s="10">
        <f>IF(C19=0,"",C19-E19)</f>
        <v/>
      </c>
      <c r="H19" s="8">
        <f>Budget!A12</f>
        <v/>
      </c>
      <c r="I19" s="8">
        <f>Budget!B12</f>
        <v/>
      </c>
      <c r="J19" s="9">
        <f>Budget!D12</f>
        <v/>
      </c>
      <c r="K19" s="9">
        <f>SUMIFS(Transactions!$D$5:$D$147,Transactions!$C$5:$C$147,H19)</f>
        <v/>
      </c>
      <c r="L19" s="9">
        <f>J19-K19</f>
        <v/>
      </c>
      <c r="M19" s="11">
        <f>IF(J19=0,0,K19/J19)</f>
        <v/>
      </c>
    </row>
    <row r="20">
      <c r="A20" s="8" t="inlineStr">
        <is>
          <t>Sep</t>
        </is>
      </c>
      <c r="B20" s="9">
        <f>SUMIFS(Transactions!$D$5:$D$147,Transactions!$E$5:$E$147,"Income",Transactions!$F$5:$F$147,9)</f>
        <v/>
      </c>
      <c r="C20" s="9">
        <f>SUMIFS(Transactions!$D$5:$D$147,Transactions!$E$5:$E$147,"Expense",Transactions!$F$5:$F$147,9)</f>
        <v/>
      </c>
      <c r="D20" s="9">
        <f>B20-C20</f>
        <v/>
      </c>
      <c r="E20" s="9">
        <f>SUMIFS(Budget!$C$5:$C$14,Budget!$B$5:$B$14,"Expense")</f>
        <v/>
      </c>
      <c r="F20" s="10">
        <f>IF(C20=0,"",C20-E20)</f>
        <v/>
      </c>
      <c r="H20" s="8">
        <f>Budget!A13</f>
        <v/>
      </c>
      <c r="I20" s="8">
        <f>Budget!B13</f>
        <v/>
      </c>
      <c r="J20" s="9">
        <f>Budget!D13</f>
        <v/>
      </c>
      <c r="K20" s="9">
        <f>SUMIFS(Transactions!$D$5:$D$147,Transactions!$C$5:$C$147,H20)</f>
        <v/>
      </c>
      <c r="L20" s="9">
        <f>J20-K20</f>
        <v/>
      </c>
      <c r="M20" s="11">
        <f>IF(J20=0,0,K20/J20)</f>
        <v/>
      </c>
    </row>
    <row r="21">
      <c r="A21" s="8" t="inlineStr">
        <is>
          <t>Oct</t>
        </is>
      </c>
      <c r="B21" s="9">
        <f>SUMIFS(Transactions!$D$5:$D$147,Transactions!$E$5:$E$147,"Income",Transactions!$F$5:$F$147,10)</f>
        <v/>
      </c>
      <c r="C21" s="9">
        <f>SUMIFS(Transactions!$D$5:$D$147,Transactions!$E$5:$E$147,"Expense",Transactions!$F$5:$F$147,10)</f>
        <v/>
      </c>
      <c r="D21" s="9">
        <f>B21-C21</f>
        <v/>
      </c>
      <c r="E21" s="9">
        <f>SUMIFS(Budget!$C$5:$C$14,Budget!$B$5:$B$14,"Expense")</f>
        <v/>
      </c>
      <c r="F21" s="10">
        <f>IF(C21=0,"",C21-E21)</f>
        <v/>
      </c>
      <c r="H21" s="8">
        <f>Budget!A14</f>
        <v/>
      </c>
      <c r="I21" s="8">
        <f>Budget!B14</f>
        <v/>
      </c>
      <c r="J21" s="9">
        <f>Budget!D14</f>
        <v/>
      </c>
      <c r="K21" s="9">
        <f>SUMIFS(Transactions!$D$5:$D$147,Transactions!$C$5:$C$147,H21)</f>
        <v/>
      </c>
      <c r="L21" s="9">
        <f>J21-K21</f>
        <v/>
      </c>
      <c r="M21" s="11">
        <f>IF(J21=0,0,K21/J21)</f>
        <v/>
      </c>
    </row>
    <row r="22">
      <c r="A22" s="8" t="inlineStr">
        <is>
          <t>Nov</t>
        </is>
      </c>
      <c r="B22" s="9">
        <f>SUMIFS(Transactions!$D$5:$D$147,Transactions!$E$5:$E$147,"Income",Transactions!$F$5:$F$147,11)</f>
        <v/>
      </c>
      <c r="C22" s="9">
        <f>SUMIFS(Transactions!$D$5:$D$147,Transactions!$E$5:$E$147,"Expense",Transactions!$F$5:$F$147,11)</f>
        <v/>
      </c>
      <c r="D22" s="9">
        <f>B22-C22</f>
        <v/>
      </c>
      <c r="E22" s="9">
        <f>SUMIFS(Budget!$C$5:$C$14,Budget!$B$5:$B$14,"Expense")</f>
        <v/>
      </c>
      <c r="F22" s="10">
        <f>IF(C22=0,"",C22-E22)</f>
        <v/>
      </c>
    </row>
    <row r="23">
      <c r="A23" s="8" t="inlineStr">
        <is>
          <t>Dec</t>
        </is>
      </c>
      <c r="B23" s="9">
        <f>SUMIFS(Transactions!$D$5:$D$147,Transactions!$E$5:$E$147,"Income",Transactions!$F$5:$F$147,12)</f>
        <v/>
      </c>
      <c r="C23" s="9">
        <f>SUMIFS(Transactions!$D$5:$D$147,Transactions!$E$5:$E$147,"Expense",Transactions!$F$5:$F$147,12)</f>
        <v/>
      </c>
      <c r="D23" s="9">
        <f>B23-C23</f>
        <v/>
      </c>
      <c r="E23" s="9">
        <f>SUMIFS(Budget!$C$5:$C$14,Budget!$B$5:$B$14,"Expense")</f>
        <v/>
      </c>
      <c r="F23" s="10">
        <f>IF(C23=0,"",C23-E23)</f>
        <v/>
      </c>
      <c r="H23" s="12" t="inlineStr">
        <is>
          <t>Year-to-date figures cover Jan–Jun example entries; a full year is about 50% of the annual budget.</t>
        </is>
      </c>
    </row>
    <row r="24">
      <c r="A24" s="13" t="inlineStr">
        <is>
          <t>Total</t>
        </is>
      </c>
      <c r="B24" s="14">
        <f>SUM(B12:B23)</f>
        <v/>
      </c>
      <c r="C24" s="14">
        <f>SUM(C12:C23)</f>
        <v/>
      </c>
      <c r="D24" s="14">
        <f>SUM(D12:D23)</f>
        <v/>
      </c>
      <c r="E24" s="14">
        <f>SUM(E12:E23)</f>
        <v/>
      </c>
      <c r="F24" s="14">
        <f>SUM(F12:F23)</f>
        <v/>
      </c>
    </row>
  </sheetData>
  <conditionalFormatting sqref="F12:F23">
    <cfRule type="cellIs" priority="1" operator="greaterThan" dxfId="0">
      <formula>0</formula>
    </cfRule>
    <cfRule type="cellIs" priority="2" operator="lessThanOrEqual" dxfId="1">
      <formula>0</formula>
    </cfRule>
  </conditionalFormatting>
  <conditionalFormatting sqref="D12:D23">
    <cfRule type="cellIs" priority="3" operator="lessThan" dxfId="2">
      <formula>0</formula>
    </cfRule>
  </conditionalFormatting>
  <conditionalFormatting sqref="M12:M21">
    <cfRule type="dataBar" priority="4">
      <dataBar>
        <cfvo type="num" val="0"/>
        <cfvo type="num" val="1"/>
        <color rgb="005B7DB8"/>
      </dataBar>
    </cfRule>
  </conditionalFormatting>
  <pageMargins left="0.4" right="0.4" top="0.4" bottom="0.4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F3A68"/>
    <outlinePr summaryBelow="1" summaryRight="1"/>
    <pageSetUpPr/>
  </sheetPr>
  <dimension ref="A1:F14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24" customWidth="1" min="3" max="3"/>
    <col width="13" customWidth="1" min="4" max="4"/>
    <col width="11" customWidth="1" min="5" max="5"/>
    <col width="8" customWidth="1" min="6" max="6"/>
  </cols>
  <sheetData>
    <row r="1">
      <c r="A1" s="15" t="inlineStr">
        <is>
          <t>Transactions</t>
        </is>
      </c>
    </row>
    <row r="2">
      <c r="A2" s="16" t="inlineStr">
        <is>
          <t>EXAMPLE DATA: invented entries for a fictional bakery. Replace with your own; Type and Month fill in automatically.</t>
        </is>
      </c>
    </row>
    <row r="4">
      <c r="A4" s="17" t="inlineStr">
        <is>
          <t>Date</t>
        </is>
      </c>
      <c r="B4" s="17" t="inlineStr">
        <is>
          <t>Description</t>
        </is>
      </c>
      <c r="C4" s="17" t="inlineStr">
        <is>
          <t>Category</t>
        </is>
      </c>
      <c r="D4" s="17" t="inlineStr">
        <is>
          <t>Amount</t>
        </is>
      </c>
      <c r="E4" s="17" t="inlineStr">
        <is>
          <t>Type</t>
        </is>
      </c>
      <c r="F4" s="17" t="inlineStr">
        <is>
          <t>Month</t>
        </is>
      </c>
    </row>
    <row r="5">
      <c r="A5" s="18" t="n">
        <v>46024</v>
      </c>
      <c r="B5" s="19" t="inlineStr">
        <is>
          <t>Weekly counter takings</t>
        </is>
      </c>
      <c r="C5" s="19" t="inlineStr">
        <is>
          <t>Counter sales</t>
        </is>
      </c>
      <c r="D5" s="20" t="n">
        <v>2015.89</v>
      </c>
      <c r="E5" s="19">
        <f>IFERROR(INDEX(Budget!$B$5:$B$14,MATCH(C5,Budget!$A$5:$A$14,0)),"Check category")</f>
        <v/>
      </c>
      <c r="F5" s="19">
        <f>IF(A5="","",MONTH(A5))</f>
        <v/>
      </c>
    </row>
    <row r="6">
      <c r="A6" s="18" t="n">
        <v>46028</v>
      </c>
      <c r="B6" s="19" t="inlineStr">
        <is>
          <t>Chocolate and nuts</t>
        </is>
      </c>
      <c r="C6" s="19" t="inlineStr">
        <is>
          <t>Flour and ingredients</t>
        </is>
      </c>
      <c r="D6" s="20" t="n">
        <v>1349.78</v>
      </c>
      <c r="E6" s="19">
        <f>IFERROR(INDEX(Budget!$B$5:$B$14,MATCH(C6,Budget!$A$5:$A$14,0)),"Check category")</f>
        <v/>
      </c>
      <c r="F6" s="19">
        <f>IF(A6="","",MONTH(A6))</f>
        <v/>
      </c>
    </row>
    <row r="7">
      <c r="A7" s="18" t="n">
        <v>46030</v>
      </c>
      <c r="B7" s="19" t="inlineStr">
        <is>
          <t>Office breakfast catering</t>
        </is>
      </c>
      <c r="C7" s="19" t="inlineStr">
        <is>
          <t>Catering and cakes</t>
        </is>
      </c>
      <c r="D7" s="20" t="n">
        <v>827.61</v>
      </c>
      <c r="E7" s="19">
        <f>IFERROR(INDEX(Budget!$B$5:$B$14,MATCH(C7,Budget!$A$5:$A$14,0)),"Check category")</f>
        <v/>
      </c>
      <c r="F7" s="19">
        <f>IF(A7="","",MONTH(A7))</f>
        <v/>
      </c>
    </row>
    <row r="8">
      <c r="A8" s="18" t="n">
        <v>46031</v>
      </c>
      <c r="B8" s="19" t="inlineStr">
        <is>
          <t>Payroll, second half</t>
        </is>
      </c>
      <c r="C8" s="19" t="inlineStr">
        <is>
          <t>Wages</t>
        </is>
      </c>
      <c r="D8" s="20" t="n">
        <v>2810.8</v>
      </c>
      <c r="E8" s="19">
        <f>IFERROR(INDEX(Budget!$B$5:$B$14,MATCH(C8,Budget!$A$5:$A$14,0)),"Check category")</f>
        <v/>
      </c>
      <c r="F8" s="19">
        <f>IF(A8="","",MONTH(A8))</f>
        <v/>
      </c>
    </row>
    <row r="9">
      <c r="A9" s="18" t="n">
        <v>46032</v>
      </c>
      <c r="B9" s="19" t="inlineStr">
        <is>
          <t>Deli pastry order</t>
        </is>
      </c>
      <c r="C9" s="19" t="inlineStr">
        <is>
          <t>Wholesale orders</t>
        </is>
      </c>
      <c r="D9" s="20" t="n">
        <v>1270.19</v>
      </c>
      <c r="E9" s="19">
        <f>IFERROR(INDEX(Budget!$B$5:$B$14,MATCH(C9,Budget!$A$5:$A$14,0)),"Check category")</f>
        <v/>
      </c>
      <c r="F9" s="19">
        <f>IF(A9="","",MONTH(A9))</f>
        <v/>
      </c>
    </row>
    <row r="10">
      <c r="A10" s="18" t="n">
        <v>46032</v>
      </c>
      <c r="B10" s="19" t="inlineStr">
        <is>
          <t>Weekend counter takings</t>
        </is>
      </c>
      <c r="C10" s="19" t="inlineStr">
        <is>
          <t>Counter sales</t>
        </is>
      </c>
      <c r="D10" s="20" t="n">
        <v>2462.43</v>
      </c>
      <c r="E10" s="19">
        <f>IFERROR(INDEX(Budget!$B$5:$B$14,MATCH(C10,Budget!$A$5:$A$14,0)),"Check category")</f>
        <v/>
      </c>
      <c r="F10" s="19">
        <f>IF(A10="","",MONTH(A10))</f>
        <v/>
      </c>
    </row>
    <row r="11">
      <c r="A11" s="18" t="n">
        <v>46035</v>
      </c>
      <c r="B11" s="19" t="inlineStr">
        <is>
          <t>Flour and grain delivery</t>
        </is>
      </c>
      <c r="C11" s="19" t="inlineStr">
        <is>
          <t>Flour and ingredients</t>
        </is>
      </c>
      <c r="D11" s="20" t="n">
        <v>1235.89</v>
      </c>
      <c r="E11" s="19">
        <f>IFERROR(INDEX(Budget!$B$5:$B$14,MATCH(C11,Budget!$A$5:$A$14,0)),"Check category")</f>
        <v/>
      </c>
      <c r="F11" s="19">
        <f>IF(A11="","",MONTH(A11))</f>
        <v/>
      </c>
    </row>
    <row r="12">
      <c r="A12" s="18" t="n">
        <v>46035</v>
      </c>
      <c r="B12" s="19" t="inlineStr">
        <is>
          <t>Shop rent</t>
        </is>
      </c>
      <c r="C12" s="19" t="inlineStr">
        <is>
          <t>Rent</t>
        </is>
      </c>
      <c r="D12" s="20" t="n">
        <v>2800</v>
      </c>
      <c r="E12" s="19">
        <f>IFERROR(INDEX(Budget!$B$5:$B$14,MATCH(C12,Budget!$A$5:$A$14,0)),"Check category")</f>
        <v/>
      </c>
      <c r="F12" s="19">
        <f>IF(A12="","",MONTH(A12))</f>
        <v/>
      </c>
    </row>
    <row r="13">
      <c r="A13" s="18" t="n">
        <v>46037</v>
      </c>
      <c r="B13" s="19" t="inlineStr">
        <is>
          <t>Electric and gas</t>
        </is>
      </c>
      <c r="C13" s="19" t="inlineStr">
        <is>
          <t>Utilities</t>
        </is>
      </c>
      <c r="D13" s="20" t="n">
        <v>624.72</v>
      </c>
      <c r="E13" s="19">
        <f>IFERROR(INDEX(Budget!$B$5:$B$14,MATCH(C13,Budget!$A$5:$A$14,0)),"Check category")</f>
        <v/>
      </c>
      <c r="F13" s="19">
        <f>IF(A13="","",MONTH(A13))</f>
        <v/>
      </c>
    </row>
    <row r="14">
      <c r="A14" s="18" t="n">
        <v>46038</v>
      </c>
      <c r="B14" s="19" t="inlineStr">
        <is>
          <t>Boxes and bags</t>
        </is>
      </c>
      <c r="C14" s="19" t="inlineStr">
        <is>
          <t>Packaging</t>
        </is>
      </c>
      <c r="D14" s="20" t="n">
        <v>498.05</v>
      </c>
      <c r="E14" s="19">
        <f>IFERROR(INDEX(Budget!$B$5:$B$14,MATCH(C14,Budget!$A$5:$A$14,0)),"Check category")</f>
        <v/>
      </c>
      <c r="F14" s="19">
        <f>IF(A14="","",MONTH(A14))</f>
        <v/>
      </c>
    </row>
    <row r="15">
      <c r="A15" s="18" t="n">
        <v>46042</v>
      </c>
      <c r="B15" s="19" t="inlineStr">
        <is>
          <t>Deli pastry order</t>
        </is>
      </c>
      <c r="C15" s="19" t="inlineStr">
        <is>
          <t>Wholesale orders</t>
        </is>
      </c>
      <c r="D15" s="20" t="n">
        <v>1468.89</v>
      </c>
      <c r="E15" s="19">
        <f>IFERROR(INDEX(Budget!$B$5:$B$14,MATCH(C15,Budget!$A$5:$A$14,0)),"Check category")</f>
        <v/>
      </c>
      <c r="F15" s="19">
        <f>IF(A15="","",MONTH(A15))</f>
        <v/>
      </c>
    </row>
    <row r="16">
      <c r="A16" s="18" t="n">
        <v>46042</v>
      </c>
      <c r="B16" s="19" t="inlineStr">
        <is>
          <t>Payroll, second half</t>
        </is>
      </c>
      <c r="C16" s="19" t="inlineStr">
        <is>
          <t>Wages</t>
        </is>
      </c>
      <c r="D16" s="20" t="n">
        <v>2397.87</v>
      </c>
      <c r="E16" s="19">
        <f>IFERROR(INDEX(Budget!$B$5:$B$14,MATCH(C16,Budget!$A$5:$A$14,0)),"Check category")</f>
        <v/>
      </c>
      <c r="F16" s="19">
        <f>IF(A16="","",MONTH(A16))</f>
        <v/>
      </c>
    </row>
    <row r="17">
      <c r="A17" s="18" t="n">
        <v>46042</v>
      </c>
      <c r="B17" s="19" t="inlineStr">
        <is>
          <t>Weekend counter takings</t>
        </is>
      </c>
      <c r="C17" s="19" t="inlineStr">
        <is>
          <t>Counter sales</t>
        </is>
      </c>
      <c r="D17" s="20" t="n">
        <v>2193.11</v>
      </c>
      <c r="E17" s="19">
        <f>IFERROR(INDEX(Budget!$B$5:$B$14,MATCH(C17,Budget!$A$5:$A$14,0)),"Check category")</f>
        <v/>
      </c>
      <c r="F17" s="19">
        <f>IF(A17="","",MONTH(A17))</f>
        <v/>
      </c>
    </row>
    <row r="18">
      <c r="A18" s="18" t="n">
        <v>46044</v>
      </c>
      <c r="B18" s="19" t="inlineStr">
        <is>
          <t>Office breakfast catering</t>
        </is>
      </c>
      <c r="C18" s="19" t="inlineStr">
        <is>
          <t>Catering and cakes</t>
        </is>
      </c>
      <c r="D18" s="20" t="n">
        <v>1083.64</v>
      </c>
      <c r="E18" s="19">
        <f>IFERROR(INDEX(Budget!$B$5:$B$14,MATCH(C18,Budget!$A$5:$A$14,0)),"Check category")</f>
        <v/>
      </c>
      <c r="F18" s="19">
        <f>IF(A18="","",MONTH(A18))</f>
        <v/>
      </c>
    </row>
    <row r="19">
      <c r="A19" s="18" t="n">
        <v>46048</v>
      </c>
      <c r="B19" s="19" t="inlineStr">
        <is>
          <t>Butter, eggs and dairy</t>
        </is>
      </c>
      <c r="C19" s="19" t="inlineStr">
        <is>
          <t>Flour and ingredients</t>
        </is>
      </c>
      <c r="D19" s="20" t="n">
        <v>1159.68</v>
      </c>
      <c r="E19" s="19">
        <f>IFERROR(INDEX(Budget!$B$5:$B$14,MATCH(C19,Budget!$A$5:$A$14,0)),"Check category")</f>
        <v/>
      </c>
      <c r="F19" s="19">
        <f>IF(A19="","",MONTH(A19))</f>
        <v/>
      </c>
    </row>
    <row r="20">
      <c r="A20" s="18" t="n">
        <v>46049</v>
      </c>
      <c r="B20" s="19" t="inlineStr">
        <is>
          <t>Weekly counter takings</t>
        </is>
      </c>
      <c r="C20" s="19" t="inlineStr">
        <is>
          <t>Counter sales</t>
        </is>
      </c>
      <c r="D20" s="20" t="n">
        <v>2110.28</v>
      </c>
      <c r="E20" s="19">
        <f>IFERROR(INDEX(Budget!$B$5:$B$14,MATCH(C20,Budget!$A$5:$A$14,0)),"Check category")</f>
        <v/>
      </c>
      <c r="F20" s="19">
        <f>IF(A20="","",MONTH(A20))</f>
        <v/>
      </c>
    </row>
    <row r="21">
      <c r="A21" s="18" t="n">
        <v>46058</v>
      </c>
      <c r="B21" s="19" t="inlineStr">
        <is>
          <t>Weekend counter takings</t>
        </is>
      </c>
      <c r="C21" s="19" t="inlineStr">
        <is>
          <t>Counter sales</t>
        </is>
      </c>
      <c r="D21" s="20" t="n">
        <v>2648.52</v>
      </c>
      <c r="E21" s="19">
        <f>IFERROR(INDEX(Budget!$B$5:$B$14,MATCH(C21,Budget!$A$5:$A$14,0)),"Check category")</f>
        <v/>
      </c>
      <c r="F21" s="19">
        <f>IF(A21="","",MONTH(A21))</f>
        <v/>
      </c>
    </row>
    <row r="22">
      <c r="A22" s="18" t="n">
        <v>46059</v>
      </c>
      <c r="B22" s="19" t="inlineStr">
        <is>
          <t>Cafe bread standing order</t>
        </is>
      </c>
      <c r="C22" s="19" t="inlineStr">
        <is>
          <t>Wholesale orders</t>
        </is>
      </c>
      <c r="D22" s="20" t="n">
        <v>1864.2</v>
      </c>
      <c r="E22" s="19">
        <f>IFERROR(INDEX(Budget!$B$5:$B$14,MATCH(C22,Budget!$A$5:$A$14,0)),"Check category")</f>
        <v/>
      </c>
      <c r="F22" s="19">
        <f>IF(A22="","",MONTH(A22))</f>
        <v/>
      </c>
    </row>
    <row r="23">
      <c r="A23" s="18" t="n">
        <v>46060</v>
      </c>
      <c r="B23" s="19" t="inlineStr">
        <is>
          <t>Butter, eggs and dairy</t>
        </is>
      </c>
      <c r="C23" s="19" t="inlineStr">
        <is>
          <t>Flour and ingredients</t>
        </is>
      </c>
      <c r="D23" s="20" t="n">
        <v>1112.46</v>
      </c>
      <c r="E23" s="19">
        <f>IFERROR(INDEX(Budget!$B$5:$B$14,MATCH(C23,Budget!$A$5:$A$14,0)),"Check category")</f>
        <v/>
      </c>
      <c r="F23" s="19">
        <f>IF(A23="","",MONTH(A23))</f>
        <v/>
      </c>
    </row>
    <row r="24">
      <c r="A24" s="18" t="n">
        <v>46062</v>
      </c>
      <c r="B24" s="19" t="inlineStr">
        <is>
          <t>Birthday cake order</t>
        </is>
      </c>
      <c r="C24" s="19" t="inlineStr">
        <is>
          <t>Catering and cakes</t>
        </is>
      </c>
      <c r="D24" s="20" t="n">
        <v>1123.55</v>
      </c>
      <c r="E24" s="19">
        <f>IFERROR(INDEX(Budget!$B$5:$B$14,MATCH(C24,Budget!$A$5:$A$14,0)),"Check category")</f>
        <v/>
      </c>
      <c r="F24" s="19">
        <f>IF(A24="","",MONTH(A24))</f>
        <v/>
      </c>
    </row>
    <row r="25">
      <c r="A25" s="18" t="n">
        <v>46063</v>
      </c>
      <c r="B25" s="19" t="inlineStr">
        <is>
          <t>Payroll, second half</t>
        </is>
      </c>
      <c r="C25" s="19" t="inlineStr">
        <is>
          <t>Wages</t>
        </is>
      </c>
      <c r="D25" s="20" t="n">
        <v>3036.55</v>
      </c>
      <c r="E25" s="19">
        <f>IFERROR(INDEX(Budget!$B$5:$B$14,MATCH(C25,Budget!$A$5:$A$14,0)),"Check category")</f>
        <v/>
      </c>
      <c r="F25" s="19">
        <f>IF(A25="","",MONTH(A25))</f>
        <v/>
      </c>
    </row>
    <row r="26">
      <c r="A26" s="18" t="n">
        <v>46065</v>
      </c>
      <c r="B26" s="19" t="inlineStr">
        <is>
          <t>Weekend counter takings</t>
        </is>
      </c>
      <c r="C26" s="19" t="inlineStr">
        <is>
          <t>Counter sales</t>
        </is>
      </c>
      <c r="D26" s="20" t="n">
        <v>2356.06</v>
      </c>
      <c r="E26" s="19">
        <f>IFERROR(INDEX(Budget!$B$5:$B$14,MATCH(C26,Budget!$A$5:$A$14,0)),"Check category")</f>
        <v/>
      </c>
      <c r="F26" s="19">
        <f>IF(A26="","",MONTH(A26))</f>
        <v/>
      </c>
    </row>
    <row r="27">
      <c r="A27" s="18" t="n">
        <v>46066</v>
      </c>
      <c r="B27" s="19" t="inlineStr">
        <is>
          <t>Shop rent</t>
        </is>
      </c>
      <c r="C27" s="19" t="inlineStr">
        <is>
          <t>Rent</t>
        </is>
      </c>
      <c r="D27" s="20" t="n">
        <v>2800</v>
      </c>
      <c r="E27" s="19">
        <f>IFERROR(INDEX(Budget!$B$5:$B$14,MATCH(C27,Budget!$A$5:$A$14,0)),"Check category")</f>
        <v/>
      </c>
      <c r="F27" s="19">
        <f>IF(A27="","",MONTH(A27))</f>
        <v/>
      </c>
    </row>
    <row r="28">
      <c r="A28" s="18" t="n">
        <v>46067</v>
      </c>
      <c r="B28" s="19" t="inlineStr">
        <is>
          <t>Water</t>
        </is>
      </c>
      <c r="C28" s="19" t="inlineStr">
        <is>
          <t>Utilities</t>
        </is>
      </c>
      <c r="D28" s="20" t="n">
        <v>714.72</v>
      </c>
      <c r="E28" s="19">
        <f>IFERROR(INDEX(Budget!$B$5:$B$14,MATCH(C28,Budget!$A$5:$A$14,0)),"Check category")</f>
        <v/>
      </c>
      <c r="F28" s="19">
        <f>IF(A28="","",MONTH(A28))</f>
        <v/>
      </c>
    </row>
    <row r="29">
      <c r="A29" s="18" t="n">
        <v>46068</v>
      </c>
      <c r="B29" s="19" t="inlineStr">
        <is>
          <t>Chocolate and nuts</t>
        </is>
      </c>
      <c r="C29" s="19" t="inlineStr">
        <is>
          <t>Flour and ingredients</t>
        </is>
      </c>
      <c r="D29" s="20" t="n">
        <v>1243.18</v>
      </c>
      <c r="E29" s="19">
        <f>IFERROR(INDEX(Budget!$B$5:$B$14,MATCH(C29,Budget!$A$5:$A$14,0)),"Check category")</f>
        <v/>
      </c>
      <c r="F29" s="19">
        <f>IF(A29="","",MONTH(A29))</f>
        <v/>
      </c>
    </row>
    <row r="30">
      <c r="A30" s="18" t="n">
        <v>46069</v>
      </c>
      <c r="B30" s="19" t="inlineStr">
        <is>
          <t>Boxes and bags</t>
        </is>
      </c>
      <c r="C30" s="19" t="inlineStr">
        <is>
          <t>Packaging</t>
        </is>
      </c>
      <c r="D30" s="20" t="n">
        <v>545.5700000000001</v>
      </c>
      <c r="E30" s="19">
        <f>IFERROR(INDEX(Budget!$B$5:$B$14,MATCH(C30,Budget!$A$5:$A$14,0)),"Check category")</f>
        <v/>
      </c>
      <c r="F30" s="19">
        <f>IF(A30="","",MONTH(A30))</f>
        <v/>
      </c>
    </row>
    <row r="31">
      <c r="A31" s="18" t="n">
        <v>46069</v>
      </c>
      <c r="B31" s="19" t="inlineStr">
        <is>
          <t>Market stall fee</t>
        </is>
      </c>
      <c r="C31" s="19" t="inlineStr">
        <is>
          <t>Marketing</t>
        </is>
      </c>
      <c r="D31" s="20" t="n">
        <v>287.87</v>
      </c>
      <c r="E31" s="19">
        <f>IFERROR(INDEX(Budget!$B$5:$B$14,MATCH(C31,Budget!$A$5:$A$14,0)),"Check category")</f>
        <v/>
      </c>
      <c r="F31" s="19">
        <f>IF(A31="","",MONTH(A31))</f>
        <v/>
      </c>
    </row>
    <row r="32">
      <c r="A32" s="18" t="n">
        <v>46069</v>
      </c>
      <c r="B32" s="19" t="inlineStr">
        <is>
          <t>Oven door seal</t>
        </is>
      </c>
      <c r="C32" s="19" t="inlineStr">
        <is>
          <t>Equipment and repairs</t>
        </is>
      </c>
      <c r="D32" s="20" t="n">
        <v>377.53</v>
      </c>
      <c r="E32" s="19">
        <f>IFERROR(INDEX(Budget!$B$5:$B$14,MATCH(C32,Budget!$A$5:$A$14,0)),"Check category")</f>
        <v/>
      </c>
      <c r="F32" s="19">
        <f>IF(A32="","",MONTH(A32))</f>
        <v/>
      </c>
    </row>
    <row r="33">
      <c r="A33" s="18" t="n">
        <v>46073</v>
      </c>
      <c r="B33" s="19" t="inlineStr">
        <is>
          <t>Weekly counter takings</t>
        </is>
      </c>
      <c r="C33" s="19" t="inlineStr">
        <is>
          <t>Counter sales</t>
        </is>
      </c>
      <c r="D33" s="20" t="n">
        <v>2317.91</v>
      </c>
      <c r="E33" s="19">
        <f>IFERROR(INDEX(Budget!$B$5:$B$14,MATCH(C33,Budget!$A$5:$A$14,0)),"Check category")</f>
        <v/>
      </c>
      <c r="F33" s="19">
        <f>IF(A33="","",MONTH(A33))</f>
        <v/>
      </c>
    </row>
    <row r="34">
      <c r="A34" s="18" t="n">
        <v>46074</v>
      </c>
      <c r="B34" s="19" t="inlineStr">
        <is>
          <t>Payroll, second half</t>
        </is>
      </c>
      <c r="C34" s="19" t="inlineStr">
        <is>
          <t>Wages</t>
        </is>
      </c>
      <c r="D34" s="20" t="n">
        <v>2404.7</v>
      </c>
      <c r="E34" s="19">
        <f>IFERROR(INDEX(Budget!$B$5:$B$14,MATCH(C34,Budget!$A$5:$A$14,0)),"Check category")</f>
        <v/>
      </c>
      <c r="F34" s="19">
        <f>IF(A34="","",MONTH(A34))</f>
        <v/>
      </c>
    </row>
    <row r="35">
      <c r="A35" s="18" t="n">
        <v>46076</v>
      </c>
      <c r="B35" s="19" t="inlineStr">
        <is>
          <t>Wedding cake deposit</t>
        </is>
      </c>
      <c r="C35" s="19" t="inlineStr">
        <is>
          <t>Catering and cakes</t>
        </is>
      </c>
      <c r="D35" s="20" t="n">
        <v>1048.93</v>
      </c>
      <c r="E35" s="19">
        <f>IFERROR(INDEX(Budget!$B$5:$B$14,MATCH(C35,Budget!$A$5:$A$14,0)),"Check category")</f>
        <v/>
      </c>
      <c r="F35" s="19">
        <f>IF(A35="","",MONTH(A35))</f>
        <v/>
      </c>
    </row>
    <row r="36">
      <c r="A36" s="18" t="n">
        <v>46077</v>
      </c>
      <c r="B36" s="19" t="inlineStr">
        <is>
          <t>Cafe bread standing order</t>
        </is>
      </c>
      <c r="C36" s="19" t="inlineStr">
        <is>
          <t>Wholesale orders</t>
        </is>
      </c>
      <c r="D36" s="20" t="n">
        <v>1557.39</v>
      </c>
      <c r="E36" s="19">
        <f>IFERROR(INDEX(Budget!$B$5:$B$14,MATCH(C36,Budget!$A$5:$A$14,0)),"Check category")</f>
        <v/>
      </c>
      <c r="F36" s="19">
        <f>IF(A36="","",MONTH(A36))</f>
        <v/>
      </c>
    </row>
    <row r="37">
      <c r="A37" s="18" t="n">
        <v>46079</v>
      </c>
      <c r="B37" s="19" t="inlineStr">
        <is>
          <t>Butter, eggs and dairy</t>
        </is>
      </c>
      <c r="C37" s="19" t="inlineStr">
        <is>
          <t>Flour and ingredients</t>
        </is>
      </c>
      <c r="D37" s="20" t="n">
        <v>1309.25</v>
      </c>
      <c r="E37" s="19">
        <f>IFERROR(INDEX(Budget!$B$5:$B$14,MATCH(C37,Budget!$A$5:$A$14,0)),"Check category")</f>
        <v/>
      </c>
      <c r="F37" s="19">
        <f>IF(A37="","",MONTH(A37))</f>
        <v/>
      </c>
    </row>
    <row r="38">
      <c r="A38" s="18" t="n">
        <v>46080</v>
      </c>
      <c r="B38" s="19" t="inlineStr">
        <is>
          <t>Weekly counter takings</t>
        </is>
      </c>
      <c r="C38" s="19" t="inlineStr">
        <is>
          <t>Counter sales</t>
        </is>
      </c>
      <c r="D38" s="20" t="n">
        <v>2074.61</v>
      </c>
      <c r="E38" s="19">
        <f>IFERROR(INDEX(Budget!$B$5:$B$14,MATCH(C38,Budget!$A$5:$A$14,0)),"Check category")</f>
        <v/>
      </c>
      <c r="F38" s="19">
        <f>IF(A38="","",MONTH(A38))</f>
        <v/>
      </c>
    </row>
    <row r="39">
      <c r="A39" s="18" t="n">
        <v>46085</v>
      </c>
      <c r="B39" s="19" t="inlineStr">
        <is>
          <t>Weekly counter takings</t>
        </is>
      </c>
      <c r="C39" s="19" t="inlineStr">
        <is>
          <t>Counter sales</t>
        </is>
      </c>
      <c r="D39" s="20" t="n">
        <v>2288.29</v>
      </c>
      <c r="E39" s="19">
        <f>IFERROR(INDEX(Budget!$B$5:$B$14,MATCH(C39,Budget!$A$5:$A$14,0)),"Check category")</f>
        <v/>
      </c>
      <c r="F39" s="19">
        <f>IF(A39="","",MONTH(A39))</f>
        <v/>
      </c>
    </row>
    <row r="40">
      <c r="A40" s="18" t="n">
        <v>46087</v>
      </c>
      <c r="B40" s="19" t="inlineStr">
        <is>
          <t>Deli pastry order</t>
        </is>
      </c>
      <c r="C40" s="19" t="inlineStr">
        <is>
          <t>Wholesale orders</t>
        </is>
      </c>
      <c r="D40" s="20" t="n">
        <v>1790.91</v>
      </c>
      <c r="E40" s="19">
        <f>IFERROR(INDEX(Budget!$B$5:$B$14,MATCH(C40,Budget!$A$5:$A$14,0)),"Check category")</f>
        <v/>
      </c>
      <c r="F40" s="19">
        <f>IF(A40="","",MONTH(A40))</f>
        <v/>
      </c>
    </row>
    <row r="41">
      <c r="A41" s="18" t="n">
        <v>46088</v>
      </c>
      <c r="B41" s="19" t="inlineStr">
        <is>
          <t>Birthday cake order</t>
        </is>
      </c>
      <c r="C41" s="19" t="inlineStr">
        <is>
          <t>Catering and cakes</t>
        </is>
      </c>
      <c r="D41" s="20" t="n">
        <v>1030.87</v>
      </c>
      <c r="E41" s="19">
        <f>IFERROR(INDEX(Budget!$B$5:$B$14,MATCH(C41,Budget!$A$5:$A$14,0)),"Check category")</f>
        <v/>
      </c>
      <c r="F41" s="19">
        <f>IF(A41="","",MONTH(A41))</f>
        <v/>
      </c>
    </row>
    <row r="42">
      <c r="A42" s="18" t="n">
        <v>46088</v>
      </c>
      <c r="B42" s="19" t="inlineStr">
        <is>
          <t>Flour and grain delivery</t>
        </is>
      </c>
      <c r="C42" s="19" t="inlineStr">
        <is>
          <t>Flour and ingredients</t>
        </is>
      </c>
      <c r="D42" s="20" t="n">
        <v>1502.26</v>
      </c>
      <c r="E42" s="19">
        <f>IFERROR(INDEX(Budget!$B$5:$B$14,MATCH(C42,Budget!$A$5:$A$14,0)),"Check category")</f>
        <v/>
      </c>
      <c r="F42" s="19">
        <f>IF(A42="","",MONTH(A42))</f>
        <v/>
      </c>
    </row>
    <row r="43">
      <c r="A43" s="18" t="n">
        <v>46088</v>
      </c>
      <c r="B43" s="19" t="inlineStr">
        <is>
          <t>Payroll, second half</t>
        </is>
      </c>
      <c r="C43" s="19" t="inlineStr">
        <is>
          <t>Wages</t>
        </is>
      </c>
      <c r="D43" s="20" t="n">
        <v>2846.17</v>
      </c>
      <c r="E43" s="19">
        <f>IFERROR(INDEX(Budget!$B$5:$B$14,MATCH(C43,Budget!$A$5:$A$14,0)),"Check category")</f>
        <v/>
      </c>
      <c r="F43" s="19">
        <f>IF(A43="","",MONTH(A43))</f>
        <v/>
      </c>
    </row>
    <row r="44">
      <c r="A44" s="18" t="n">
        <v>46093</v>
      </c>
      <c r="B44" s="19" t="inlineStr">
        <is>
          <t>Weekend counter takings</t>
        </is>
      </c>
      <c r="C44" s="19" t="inlineStr">
        <is>
          <t>Counter sales</t>
        </is>
      </c>
      <c r="D44" s="20" t="n">
        <v>2616.99</v>
      </c>
      <c r="E44" s="19">
        <f>IFERROR(INDEX(Budget!$B$5:$B$14,MATCH(C44,Budget!$A$5:$A$14,0)),"Check category")</f>
        <v/>
      </c>
      <c r="F44" s="19">
        <f>IF(A44="","",MONTH(A44))</f>
        <v/>
      </c>
    </row>
    <row r="45">
      <c r="A45" s="18" t="n">
        <v>46094</v>
      </c>
      <c r="B45" s="19" t="inlineStr">
        <is>
          <t>Market stall fee</t>
        </is>
      </c>
      <c r="C45" s="19" t="inlineStr">
        <is>
          <t>Marketing</t>
        </is>
      </c>
      <c r="D45" s="20" t="n">
        <v>291.12</v>
      </c>
      <c r="E45" s="19">
        <f>IFERROR(INDEX(Budget!$B$5:$B$14,MATCH(C45,Budget!$A$5:$A$14,0)),"Check category")</f>
        <v/>
      </c>
      <c r="F45" s="19">
        <f>IF(A45="","",MONTH(A45))</f>
        <v/>
      </c>
    </row>
    <row r="46">
      <c r="A46" s="18" t="n">
        <v>46095</v>
      </c>
      <c r="B46" s="19" t="inlineStr">
        <is>
          <t>Shop rent</t>
        </is>
      </c>
      <c r="C46" s="19" t="inlineStr">
        <is>
          <t>Rent</t>
        </is>
      </c>
      <c r="D46" s="20" t="n">
        <v>2800</v>
      </c>
      <c r="E46" s="19">
        <f>IFERROR(INDEX(Budget!$B$5:$B$14,MATCH(C46,Budget!$A$5:$A$14,0)),"Check category")</f>
        <v/>
      </c>
      <c r="F46" s="19">
        <f>IF(A46="","",MONTH(A46))</f>
        <v/>
      </c>
    </row>
    <row r="47">
      <c r="A47" s="18" t="n">
        <v>46096</v>
      </c>
      <c r="B47" s="19" t="inlineStr">
        <is>
          <t>Boxes and bags</t>
        </is>
      </c>
      <c r="C47" s="19" t="inlineStr">
        <is>
          <t>Packaging</t>
        </is>
      </c>
      <c r="D47" s="20" t="n">
        <v>689.42</v>
      </c>
      <c r="E47" s="19">
        <f>IFERROR(INDEX(Budget!$B$5:$B$14,MATCH(C47,Budget!$A$5:$A$14,0)),"Check category")</f>
        <v/>
      </c>
      <c r="F47" s="19">
        <f>IF(A47="","",MONTH(A47))</f>
        <v/>
      </c>
    </row>
    <row r="48">
      <c r="A48" s="18" t="n">
        <v>46096</v>
      </c>
      <c r="B48" s="19" t="inlineStr">
        <is>
          <t>Water</t>
        </is>
      </c>
      <c r="C48" s="19" t="inlineStr">
        <is>
          <t>Utilities</t>
        </is>
      </c>
      <c r="D48" s="20" t="n">
        <v>762.66</v>
      </c>
      <c r="E48" s="19">
        <f>IFERROR(INDEX(Budget!$B$5:$B$14,MATCH(C48,Budget!$A$5:$A$14,0)),"Check category")</f>
        <v/>
      </c>
      <c r="F48" s="19">
        <f>IF(A48="","",MONTH(A48))</f>
        <v/>
      </c>
    </row>
    <row r="49">
      <c r="A49" s="18" t="n">
        <v>46098</v>
      </c>
      <c r="B49" s="19" t="inlineStr">
        <is>
          <t>Flour and grain delivery</t>
        </is>
      </c>
      <c r="C49" s="19" t="inlineStr">
        <is>
          <t>Flour and ingredients</t>
        </is>
      </c>
      <c r="D49" s="20" t="n">
        <v>1437.48</v>
      </c>
      <c r="E49" s="19">
        <f>IFERROR(INDEX(Budget!$B$5:$B$14,MATCH(C49,Budget!$A$5:$A$14,0)),"Check category")</f>
        <v/>
      </c>
      <c r="F49" s="19">
        <f>IF(A49="","",MONTH(A49))</f>
        <v/>
      </c>
    </row>
    <row r="50">
      <c r="A50" s="18" t="n">
        <v>46100</v>
      </c>
      <c r="B50" s="19" t="inlineStr">
        <is>
          <t>Weekly counter takings</t>
        </is>
      </c>
      <c r="C50" s="19" t="inlineStr">
        <is>
          <t>Counter sales</t>
        </is>
      </c>
      <c r="D50" s="20" t="n">
        <v>2822.18</v>
      </c>
      <c r="E50" s="19">
        <f>IFERROR(INDEX(Budget!$B$5:$B$14,MATCH(C50,Budget!$A$5:$A$14,0)),"Check category")</f>
        <v/>
      </c>
      <c r="F50" s="19">
        <f>IF(A50="","",MONTH(A50))</f>
        <v/>
      </c>
    </row>
    <row r="51">
      <c r="A51" s="18" t="n">
        <v>46101</v>
      </c>
      <c r="B51" s="19" t="inlineStr">
        <is>
          <t>Wedding cake deposit</t>
        </is>
      </c>
      <c r="C51" s="19" t="inlineStr">
        <is>
          <t>Catering and cakes</t>
        </is>
      </c>
      <c r="D51" s="20" t="n">
        <v>861.08</v>
      </c>
      <c r="E51" s="19">
        <f>IFERROR(INDEX(Budget!$B$5:$B$14,MATCH(C51,Budget!$A$5:$A$14,0)),"Check category")</f>
        <v/>
      </c>
      <c r="F51" s="19">
        <f>IF(A51="","",MONTH(A51))</f>
        <v/>
      </c>
    </row>
    <row r="52">
      <c r="A52" s="18" t="n">
        <v>46103</v>
      </c>
      <c r="B52" s="19" t="inlineStr">
        <is>
          <t>Chocolate and nuts</t>
        </is>
      </c>
      <c r="C52" s="19" t="inlineStr">
        <is>
          <t>Flour and ingredients</t>
        </is>
      </c>
      <c r="D52" s="20" t="n">
        <v>1356.66</v>
      </c>
      <c r="E52" s="19">
        <f>IFERROR(INDEX(Budget!$B$5:$B$14,MATCH(C52,Budget!$A$5:$A$14,0)),"Check category")</f>
        <v/>
      </c>
      <c r="F52" s="19">
        <f>IF(A52="","",MONTH(A52))</f>
        <v/>
      </c>
    </row>
    <row r="53">
      <c r="A53" s="18" t="n">
        <v>46103</v>
      </c>
      <c r="B53" s="19" t="inlineStr">
        <is>
          <t>Deli pastry order</t>
        </is>
      </c>
      <c r="C53" s="19" t="inlineStr">
        <is>
          <t>Wholesale orders</t>
        </is>
      </c>
      <c r="D53" s="20" t="n">
        <v>1453.16</v>
      </c>
      <c r="E53" s="19">
        <f>IFERROR(INDEX(Budget!$B$5:$B$14,MATCH(C53,Budget!$A$5:$A$14,0)),"Check category")</f>
        <v/>
      </c>
      <c r="F53" s="19">
        <f>IF(A53="","",MONTH(A53))</f>
        <v/>
      </c>
    </row>
    <row r="54">
      <c r="A54" s="18" t="n">
        <v>46105</v>
      </c>
      <c r="B54" s="19" t="inlineStr">
        <is>
          <t>Payroll, second half</t>
        </is>
      </c>
      <c r="C54" s="19" t="inlineStr">
        <is>
          <t>Wages</t>
        </is>
      </c>
      <c r="D54" s="20" t="n">
        <v>2428.27</v>
      </c>
      <c r="E54" s="19">
        <f>IFERROR(INDEX(Budget!$B$5:$B$14,MATCH(C54,Budget!$A$5:$A$14,0)),"Check category")</f>
        <v/>
      </c>
      <c r="F54" s="19">
        <f>IF(A54="","",MONTH(A54))</f>
        <v/>
      </c>
    </row>
    <row r="55">
      <c r="A55" s="18" t="n">
        <v>46107</v>
      </c>
      <c r="B55" s="19" t="inlineStr">
        <is>
          <t>Weekend counter takings</t>
        </is>
      </c>
      <c r="C55" s="19" t="inlineStr">
        <is>
          <t>Counter sales</t>
        </is>
      </c>
      <c r="D55" s="20" t="n">
        <v>2752.03</v>
      </c>
      <c r="E55" s="19">
        <f>IFERROR(INDEX(Budget!$B$5:$B$14,MATCH(C55,Budget!$A$5:$A$14,0)),"Check category")</f>
        <v/>
      </c>
      <c r="F55" s="19">
        <f>IF(A55="","",MONTH(A55))</f>
        <v/>
      </c>
    </row>
    <row r="56">
      <c r="A56" s="18" t="n">
        <v>46115</v>
      </c>
      <c r="B56" s="19" t="inlineStr">
        <is>
          <t>Weekend counter takings</t>
        </is>
      </c>
      <c r="C56" s="19" t="inlineStr">
        <is>
          <t>Counter sales</t>
        </is>
      </c>
      <c r="D56" s="20" t="n">
        <v>2861.99</v>
      </c>
      <c r="E56" s="19">
        <f>IFERROR(INDEX(Budget!$B$5:$B$14,MATCH(C56,Budget!$A$5:$A$14,0)),"Check category")</f>
        <v/>
      </c>
      <c r="F56" s="19">
        <f>IF(A56="","",MONTH(A56))</f>
        <v/>
      </c>
    </row>
    <row r="57">
      <c r="A57" s="18" t="n">
        <v>46118</v>
      </c>
      <c r="B57" s="19" t="inlineStr">
        <is>
          <t>Chocolate and nuts</t>
        </is>
      </c>
      <c r="C57" s="19" t="inlineStr">
        <is>
          <t>Flour and ingredients</t>
        </is>
      </c>
      <c r="D57" s="20" t="n">
        <v>1600.63</v>
      </c>
      <c r="E57" s="19">
        <f>IFERROR(INDEX(Budget!$B$5:$B$14,MATCH(C57,Budget!$A$5:$A$14,0)),"Check category")</f>
        <v/>
      </c>
      <c r="F57" s="19">
        <f>IF(A57="","",MONTH(A57))</f>
        <v/>
      </c>
    </row>
    <row r="58">
      <c r="A58" s="18" t="n">
        <v>46118</v>
      </c>
      <c r="B58" s="19" t="inlineStr">
        <is>
          <t>Deli pastry order</t>
        </is>
      </c>
      <c r="C58" s="19" t="inlineStr">
        <is>
          <t>Wholesale orders</t>
        </is>
      </c>
      <c r="D58" s="20" t="n">
        <v>1510.97</v>
      </c>
      <c r="E58" s="19">
        <f>IFERROR(INDEX(Budget!$B$5:$B$14,MATCH(C58,Budget!$A$5:$A$14,0)),"Check category")</f>
        <v/>
      </c>
      <c r="F58" s="19">
        <f>IF(A58="","",MONTH(A58))</f>
        <v/>
      </c>
    </row>
    <row r="59">
      <c r="A59" s="18" t="n">
        <v>46118</v>
      </c>
      <c r="B59" s="19" t="inlineStr">
        <is>
          <t>Office breakfast catering</t>
        </is>
      </c>
      <c r="C59" s="19" t="inlineStr">
        <is>
          <t>Catering and cakes</t>
        </is>
      </c>
      <c r="D59" s="20" t="n">
        <v>1117.16</v>
      </c>
      <c r="E59" s="19">
        <f>IFERROR(INDEX(Budget!$B$5:$B$14,MATCH(C59,Budget!$A$5:$A$14,0)),"Check category")</f>
        <v/>
      </c>
      <c r="F59" s="19">
        <f>IF(A59="","",MONTH(A59))</f>
        <v/>
      </c>
    </row>
    <row r="60">
      <c r="A60" s="18" t="n">
        <v>46118</v>
      </c>
      <c r="B60" s="19" t="inlineStr">
        <is>
          <t>Payroll, first half</t>
        </is>
      </c>
      <c r="C60" s="19" t="inlineStr">
        <is>
          <t>Wages</t>
        </is>
      </c>
      <c r="D60" s="20" t="n">
        <v>3126.38</v>
      </c>
      <c r="E60" s="19">
        <f>IFERROR(INDEX(Budget!$B$5:$B$14,MATCH(C60,Budget!$A$5:$A$14,0)),"Check category")</f>
        <v/>
      </c>
      <c r="F60" s="19">
        <f>IF(A60="","",MONTH(A60))</f>
        <v/>
      </c>
    </row>
    <row r="61">
      <c r="A61" s="18" t="n">
        <v>46125</v>
      </c>
      <c r="B61" s="19" t="inlineStr">
        <is>
          <t>Electric and gas</t>
        </is>
      </c>
      <c r="C61" s="19" t="inlineStr">
        <is>
          <t>Utilities</t>
        </is>
      </c>
      <c r="D61" s="20" t="n">
        <v>679.54</v>
      </c>
      <c r="E61" s="19">
        <f>IFERROR(INDEX(Budget!$B$5:$B$14,MATCH(C61,Budget!$A$5:$A$14,0)),"Check category")</f>
        <v/>
      </c>
      <c r="F61" s="19">
        <f>IF(A61="","",MONTH(A61))</f>
        <v/>
      </c>
    </row>
    <row r="62">
      <c r="A62" s="18" t="n">
        <v>46125</v>
      </c>
      <c r="B62" s="19" t="inlineStr">
        <is>
          <t>Shop rent</t>
        </is>
      </c>
      <c r="C62" s="19" t="inlineStr">
        <is>
          <t>Rent</t>
        </is>
      </c>
      <c r="D62" s="20" t="n">
        <v>2800</v>
      </c>
      <c r="E62" s="19">
        <f>IFERROR(INDEX(Budget!$B$5:$B$14,MATCH(C62,Budget!$A$5:$A$14,0)),"Check category")</f>
        <v/>
      </c>
      <c r="F62" s="19">
        <f>IF(A62="","",MONTH(A62))</f>
        <v/>
      </c>
    </row>
    <row r="63">
      <c r="A63" s="18" t="n">
        <v>46125</v>
      </c>
      <c r="B63" s="19" t="inlineStr">
        <is>
          <t>Weekly counter takings</t>
        </is>
      </c>
      <c r="C63" s="19" t="inlineStr">
        <is>
          <t>Counter sales</t>
        </is>
      </c>
      <c r="D63" s="20" t="n">
        <v>2514.76</v>
      </c>
      <c r="E63" s="19">
        <f>IFERROR(INDEX(Budget!$B$5:$B$14,MATCH(C63,Budget!$A$5:$A$14,0)),"Check category")</f>
        <v/>
      </c>
      <c r="F63" s="19">
        <f>IF(A63="","",MONTH(A63))</f>
        <v/>
      </c>
    </row>
    <row r="64">
      <c r="A64" s="18" t="n">
        <v>46128</v>
      </c>
      <c r="B64" s="19" t="inlineStr">
        <is>
          <t>Market stall fee</t>
        </is>
      </c>
      <c r="C64" s="19" t="inlineStr">
        <is>
          <t>Marketing</t>
        </is>
      </c>
      <c r="D64" s="20" t="n">
        <v>342.15</v>
      </c>
      <c r="E64" s="19">
        <f>IFERROR(INDEX(Budget!$B$5:$B$14,MATCH(C64,Budget!$A$5:$A$14,0)),"Check category")</f>
        <v/>
      </c>
      <c r="F64" s="19">
        <f>IF(A64="","",MONTH(A64))</f>
        <v/>
      </c>
    </row>
    <row r="65">
      <c r="A65" s="18" t="n">
        <v>46129</v>
      </c>
      <c r="B65" s="19" t="inlineStr">
        <is>
          <t>Boxes and bags</t>
        </is>
      </c>
      <c r="C65" s="19" t="inlineStr">
        <is>
          <t>Packaging</t>
        </is>
      </c>
      <c r="D65" s="20" t="n">
        <v>648.4299999999999</v>
      </c>
      <c r="E65" s="19">
        <f>IFERROR(INDEX(Budget!$B$5:$B$14,MATCH(C65,Budget!$A$5:$A$14,0)),"Check category")</f>
        <v/>
      </c>
      <c r="F65" s="19">
        <f>IF(A65="","",MONTH(A65))</f>
        <v/>
      </c>
    </row>
    <row r="66">
      <c r="A66" s="18" t="n">
        <v>46129</v>
      </c>
      <c r="B66" s="19" t="inlineStr">
        <is>
          <t>Flour and grain delivery</t>
        </is>
      </c>
      <c r="C66" s="19" t="inlineStr">
        <is>
          <t>Flour and ingredients</t>
        </is>
      </c>
      <c r="D66" s="20" t="n">
        <v>1529.27</v>
      </c>
      <c r="E66" s="19">
        <f>IFERROR(INDEX(Budget!$B$5:$B$14,MATCH(C66,Budget!$A$5:$A$14,0)),"Check category")</f>
        <v/>
      </c>
      <c r="F66" s="19">
        <f>IF(A66="","",MONTH(A66))</f>
        <v/>
      </c>
    </row>
    <row r="67">
      <c r="A67" s="18" t="n">
        <v>46132</v>
      </c>
      <c r="B67" s="19" t="inlineStr">
        <is>
          <t>Weekend counter takings</t>
        </is>
      </c>
      <c r="C67" s="19" t="inlineStr">
        <is>
          <t>Counter sales</t>
        </is>
      </c>
      <c r="D67" s="20" t="n">
        <v>2883.93</v>
      </c>
      <c r="E67" s="19">
        <f>IFERROR(INDEX(Budget!$B$5:$B$14,MATCH(C67,Budget!$A$5:$A$14,0)),"Check category")</f>
        <v/>
      </c>
      <c r="F67" s="19">
        <f>IF(A67="","",MONTH(A67))</f>
        <v/>
      </c>
    </row>
    <row r="68">
      <c r="A68" s="18" t="n">
        <v>46134</v>
      </c>
      <c r="B68" s="19" t="inlineStr">
        <is>
          <t>Birthday cake order</t>
        </is>
      </c>
      <c r="C68" s="19" t="inlineStr">
        <is>
          <t>Catering and cakes</t>
        </is>
      </c>
      <c r="D68" s="20" t="n">
        <v>1093.02</v>
      </c>
      <c r="E68" s="19">
        <f>IFERROR(INDEX(Budget!$B$5:$B$14,MATCH(C68,Budget!$A$5:$A$14,0)),"Check category")</f>
        <v/>
      </c>
      <c r="F68" s="19">
        <f>IF(A68="","",MONTH(A68))</f>
        <v/>
      </c>
    </row>
    <row r="69">
      <c r="A69" s="18" t="n">
        <v>46134</v>
      </c>
      <c r="B69" s="19" t="inlineStr">
        <is>
          <t>Cafe bread standing order</t>
        </is>
      </c>
      <c r="C69" s="19" t="inlineStr">
        <is>
          <t>Wholesale orders</t>
        </is>
      </c>
      <c r="D69" s="20" t="n">
        <v>2083.9</v>
      </c>
      <c r="E69" s="19">
        <f>IFERROR(INDEX(Budget!$B$5:$B$14,MATCH(C69,Budget!$A$5:$A$14,0)),"Check category")</f>
        <v/>
      </c>
      <c r="F69" s="19">
        <f>IF(A69="","",MONTH(A69))</f>
        <v/>
      </c>
    </row>
    <row r="70">
      <c r="A70" s="18" t="n">
        <v>46135</v>
      </c>
      <c r="B70" s="19" t="inlineStr">
        <is>
          <t>Payroll, first half</t>
        </is>
      </c>
      <c r="C70" s="19" t="inlineStr">
        <is>
          <t>Wages</t>
        </is>
      </c>
      <c r="D70" s="20" t="n">
        <v>3361.3</v>
      </c>
      <c r="E70" s="19">
        <f>IFERROR(INDEX(Budget!$B$5:$B$14,MATCH(C70,Budget!$A$5:$A$14,0)),"Check category")</f>
        <v/>
      </c>
      <c r="F70" s="19">
        <f>IF(A70="","",MONTH(A70))</f>
        <v/>
      </c>
    </row>
    <row r="71">
      <c r="A71" s="18" t="n">
        <v>46135</v>
      </c>
      <c r="B71" s="19" t="inlineStr">
        <is>
          <t>Weekend counter takings</t>
        </is>
      </c>
      <c r="C71" s="19" t="inlineStr">
        <is>
          <t>Counter sales</t>
        </is>
      </c>
      <c r="D71" s="20" t="n">
        <v>3025.96</v>
      </c>
      <c r="E71" s="19">
        <f>IFERROR(INDEX(Budget!$B$5:$B$14,MATCH(C71,Budget!$A$5:$A$14,0)),"Check category")</f>
        <v/>
      </c>
      <c r="F71" s="19">
        <f>IF(A71="","",MONTH(A71))</f>
        <v/>
      </c>
    </row>
    <row r="72">
      <c r="A72" s="18" t="n">
        <v>46138</v>
      </c>
      <c r="B72" s="19" t="inlineStr">
        <is>
          <t>Butter, eggs and dairy</t>
        </is>
      </c>
      <c r="C72" s="19" t="inlineStr">
        <is>
          <t>Flour and ingredients</t>
        </is>
      </c>
      <c r="D72" s="20" t="n">
        <v>1387.73</v>
      </c>
      <c r="E72" s="19">
        <f>IFERROR(INDEX(Budget!$B$5:$B$14,MATCH(C72,Budget!$A$5:$A$14,0)),"Check category")</f>
        <v/>
      </c>
      <c r="F72" s="19">
        <f>IF(A72="","",MONTH(A72))</f>
        <v/>
      </c>
    </row>
    <row r="73">
      <c r="A73" s="18" t="n">
        <v>46145</v>
      </c>
      <c r="B73" s="19" t="inlineStr">
        <is>
          <t>Weekly counter takings</t>
        </is>
      </c>
      <c r="C73" s="19" t="inlineStr">
        <is>
          <t>Counter sales</t>
        </is>
      </c>
      <c r="D73" s="20" t="n">
        <v>2887.88</v>
      </c>
      <c r="E73" s="19">
        <f>IFERROR(INDEX(Budget!$B$5:$B$14,MATCH(C73,Budget!$A$5:$A$14,0)),"Check category")</f>
        <v/>
      </c>
      <c r="F73" s="19">
        <f>IF(A73="","",MONTH(A73))</f>
        <v/>
      </c>
    </row>
    <row r="74">
      <c r="A74" s="18" t="n">
        <v>46148</v>
      </c>
      <c r="B74" s="19" t="inlineStr">
        <is>
          <t>Cafe bread standing order</t>
        </is>
      </c>
      <c r="C74" s="19" t="inlineStr">
        <is>
          <t>Wholesale orders</t>
        </is>
      </c>
      <c r="D74" s="20" t="n">
        <v>1823.93</v>
      </c>
      <c r="E74" s="19">
        <f>IFERROR(INDEX(Budget!$B$5:$B$14,MATCH(C74,Budget!$A$5:$A$14,0)),"Check category")</f>
        <v/>
      </c>
      <c r="F74" s="19">
        <f>IF(A74="","",MONTH(A74))</f>
        <v/>
      </c>
    </row>
    <row r="75">
      <c r="A75" s="18" t="n">
        <v>46148</v>
      </c>
      <c r="B75" s="19" t="inlineStr">
        <is>
          <t>Payroll, first half</t>
        </is>
      </c>
      <c r="C75" s="19" t="inlineStr">
        <is>
          <t>Wages</t>
        </is>
      </c>
      <c r="D75" s="20" t="n">
        <v>2968.86</v>
      </c>
      <c r="E75" s="19">
        <f>IFERROR(INDEX(Budget!$B$5:$B$14,MATCH(C75,Budget!$A$5:$A$14,0)),"Check category")</f>
        <v/>
      </c>
      <c r="F75" s="19">
        <f>IF(A75="","",MONTH(A75))</f>
        <v/>
      </c>
    </row>
    <row r="76">
      <c r="A76" s="18" t="n">
        <v>46149</v>
      </c>
      <c r="B76" s="19" t="inlineStr">
        <is>
          <t>Flour and grain delivery</t>
        </is>
      </c>
      <c r="C76" s="19" t="inlineStr">
        <is>
          <t>Flour and ingredients</t>
        </is>
      </c>
      <c r="D76" s="20" t="n">
        <v>1446.59</v>
      </c>
      <c r="E76" s="19">
        <f>IFERROR(INDEX(Budget!$B$5:$B$14,MATCH(C76,Budget!$A$5:$A$14,0)),"Check category")</f>
        <v/>
      </c>
      <c r="F76" s="19">
        <f>IF(A76="","",MONTH(A76))</f>
        <v/>
      </c>
    </row>
    <row r="77">
      <c r="A77" s="18" t="n">
        <v>46151</v>
      </c>
      <c r="B77" s="19" t="inlineStr">
        <is>
          <t>Office breakfast catering</t>
        </is>
      </c>
      <c r="C77" s="19" t="inlineStr">
        <is>
          <t>Catering and cakes</t>
        </is>
      </c>
      <c r="D77" s="20" t="n">
        <v>1387.36</v>
      </c>
      <c r="E77" s="19">
        <f>IFERROR(INDEX(Budget!$B$5:$B$14,MATCH(C77,Budget!$A$5:$A$14,0)),"Check category")</f>
        <v/>
      </c>
      <c r="F77" s="19">
        <f>IF(A77="","",MONTH(A77))</f>
        <v/>
      </c>
    </row>
    <row r="78">
      <c r="A78" s="18" t="n">
        <v>46155</v>
      </c>
      <c r="B78" s="19" t="inlineStr">
        <is>
          <t>Boxes and bags</t>
        </is>
      </c>
      <c r="C78" s="19" t="inlineStr">
        <is>
          <t>Packaging</t>
        </is>
      </c>
      <c r="D78" s="20" t="n">
        <v>846.9</v>
      </c>
      <c r="E78" s="19">
        <f>IFERROR(INDEX(Budget!$B$5:$B$14,MATCH(C78,Budget!$A$5:$A$14,0)),"Check category")</f>
        <v/>
      </c>
      <c r="F78" s="19">
        <f>IF(A78="","",MONTH(A78))</f>
        <v/>
      </c>
    </row>
    <row r="79">
      <c r="A79" s="18" t="n">
        <v>46155</v>
      </c>
      <c r="B79" s="19" t="inlineStr">
        <is>
          <t>Oven door seal</t>
        </is>
      </c>
      <c r="C79" s="19" t="inlineStr">
        <is>
          <t>Equipment and repairs</t>
        </is>
      </c>
      <c r="D79" s="20" t="n">
        <v>467.48</v>
      </c>
      <c r="E79" s="19">
        <f>IFERROR(INDEX(Budget!$B$5:$B$14,MATCH(C79,Budget!$A$5:$A$14,0)),"Check category")</f>
        <v/>
      </c>
      <c r="F79" s="19">
        <f>IF(A79="","",MONTH(A79))</f>
        <v/>
      </c>
    </row>
    <row r="80">
      <c r="A80" s="18" t="n">
        <v>46155</v>
      </c>
      <c r="B80" s="19" t="inlineStr">
        <is>
          <t>Weekly counter takings</t>
        </is>
      </c>
      <c r="C80" s="19" t="inlineStr">
        <is>
          <t>Counter sales</t>
        </is>
      </c>
      <c r="D80" s="20" t="n">
        <v>3133.82</v>
      </c>
      <c r="E80" s="19">
        <f>IFERROR(INDEX(Budget!$B$5:$B$14,MATCH(C80,Budget!$A$5:$A$14,0)),"Check category")</f>
        <v/>
      </c>
      <c r="F80" s="19">
        <f>IF(A80="","",MONTH(A80))</f>
        <v/>
      </c>
    </row>
    <row r="81">
      <c r="A81" s="18" t="n">
        <v>46157</v>
      </c>
      <c r="B81" s="19" t="inlineStr">
        <is>
          <t>Shop rent</t>
        </is>
      </c>
      <c r="C81" s="19" t="inlineStr">
        <is>
          <t>Rent</t>
        </is>
      </c>
      <c r="D81" s="20" t="n">
        <v>2800</v>
      </c>
      <c r="E81" s="19">
        <f>IFERROR(INDEX(Budget!$B$5:$B$14,MATCH(C81,Budget!$A$5:$A$14,0)),"Check category")</f>
        <v/>
      </c>
      <c r="F81" s="19">
        <f>IF(A81="","",MONTH(A81))</f>
        <v/>
      </c>
    </row>
    <row r="82">
      <c r="A82" s="18" t="n">
        <v>46159</v>
      </c>
      <c r="B82" s="19" t="inlineStr">
        <is>
          <t>Butter, eggs and dairy</t>
        </is>
      </c>
      <c r="C82" s="19" t="inlineStr">
        <is>
          <t>Flour and ingredients</t>
        </is>
      </c>
      <c r="D82" s="20" t="n">
        <v>1611.47</v>
      </c>
      <c r="E82" s="19">
        <f>IFERROR(INDEX(Budget!$B$5:$B$14,MATCH(C82,Budget!$A$5:$A$14,0)),"Check category")</f>
        <v/>
      </c>
      <c r="F82" s="19">
        <f>IF(A82="","",MONTH(A82))</f>
        <v/>
      </c>
    </row>
    <row r="83">
      <c r="A83" s="18" t="n">
        <v>46159</v>
      </c>
      <c r="B83" s="19" t="inlineStr">
        <is>
          <t>Electric and gas</t>
        </is>
      </c>
      <c r="C83" s="19" t="inlineStr">
        <is>
          <t>Utilities</t>
        </is>
      </c>
      <c r="D83" s="20" t="n">
        <v>888.65</v>
      </c>
      <c r="E83" s="19">
        <f>IFERROR(INDEX(Budget!$B$5:$B$14,MATCH(C83,Budget!$A$5:$A$14,0)),"Check category")</f>
        <v/>
      </c>
      <c r="F83" s="19">
        <f>IF(A83="","",MONTH(A83))</f>
        <v/>
      </c>
    </row>
    <row r="84">
      <c r="A84" s="18" t="n">
        <v>46159</v>
      </c>
      <c r="B84" s="19" t="inlineStr">
        <is>
          <t>Market stall fee</t>
        </is>
      </c>
      <c r="C84" s="19" t="inlineStr">
        <is>
          <t>Marketing</t>
        </is>
      </c>
      <c r="D84" s="20" t="n">
        <v>366.39</v>
      </c>
      <c r="E84" s="19">
        <f>IFERROR(INDEX(Budget!$B$5:$B$14,MATCH(C84,Budget!$A$5:$A$14,0)),"Check category")</f>
        <v/>
      </c>
      <c r="F84" s="19">
        <f>IF(A84="","",MONTH(A84))</f>
        <v/>
      </c>
    </row>
    <row r="85">
      <c r="A85" s="18" t="n">
        <v>46159</v>
      </c>
      <c r="B85" s="19" t="inlineStr">
        <is>
          <t>Weekly counter takings</t>
        </is>
      </c>
      <c r="C85" s="19" t="inlineStr">
        <is>
          <t>Counter sales</t>
        </is>
      </c>
      <c r="D85" s="20" t="n">
        <v>2903.26</v>
      </c>
      <c r="E85" s="19">
        <f>IFERROR(INDEX(Budget!$B$5:$B$14,MATCH(C85,Budget!$A$5:$A$14,0)),"Check category")</f>
        <v/>
      </c>
      <c r="F85" s="19">
        <f>IF(A85="","",MONTH(A85))</f>
        <v/>
      </c>
    </row>
    <row r="86">
      <c r="A86" s="18" t="n">
        <v>46164</v>
      </c>
      <c r="B86" s="19" t="inlineStr">
        <is>
          <t>Deli pastry order</t>
        </is>
      </c>
      <c r="C86" s="19" t="inlineStr">
        <is>
          <t>Wholesale orders</t>
        </is>
      </c>
      <c r="D86" s="20" t="n">
        <v>1681.02</v>
      </c>
      <c r="E86" s="19">
        <f>IFERROR(INDEX(Budget!$B$5:$B$14,MATCH(C86,Budget!$A$5:$A$14,0)),"Check category")</f>
        <v/>
      </c>
      <c r="F86" s="19">
        <f>IF(A86="","",MONTH(A86))</f>
        <v/>
      </c>
    </row>
    <row r="87">
      <c r="A87" s="18" t="n">
        <v>46164</v>
      </c>
      <c r="B87" s="19" t="inlineStr">
        <is>
          <t>Flour and grain delivery</t>
        </is>
      </c>
      <c r="C87" s="19" t="inlineStr">
        <is>
          <t>Flour and ingredients</t>
        </is>
      </c>
      <c r="D87" s="20" t="n">
        <v>1638.34</v>
      </c>
      <c r="E87" s="19">
        <f>IFERROR(INDEX(Budget!$B$5:$B$14,MATCH(C87,Budget!$A$5:$A$14,0)),"Check category")</f>
        <v/>
      </c>
      <c r="F87" s="19">
        <f>IF(A87="","",MONTH(A87))</f>
        <v/>
      </c>
    </row>
    <row r="88">
      <c r="A88" s="18" t="n">
        <v>46164</v>
      </c>
      <c r="B88" s="19" t="inlineStr">
        <is>
          <t>Office breakfast catering</t>
        </is>
      </c>
      <c r="C88" s="19" t="inlineStr">
        <is>
          <t>Catering and cakes</t>
        </is>
      </c>
      <c r="D88" s="20" t="n">
        <v>1162.33</v>
      </c>
      <c r="E88" s="19">
        <f>IFERROR(INDEX(Budget!$B$5:$B$14,MATCH(C88,Budget!$A$5:$A$14,0)),"Check category")</f>
        <v/>
      </c>
      <c r="F88" s="19">
        <f>IF(A88="","",MONTH(A88))</f>
        <v/>
      </c>
    </row>
    <row r="89">
      <c r="A89" s="18" t="n">
        <v>46164</v>
      </c>
      <c r="B89" s="19" t="inlineStr">
        <is>
          <t>Payroll, first half</t>
        </is>
      </c>
      <c r="C89" s="19" t="inlineStr">
        <is>
          <t>Wages</t>
        </is>
      </c>
      <c r="D89" s="20" t="n">
        <v>3206</v>
      </c>
      <c r="E89" s="19">
        <f>IFERROR(INDEX(Budget!$B$5:$B$14,MATCH(C89,Budget!$A$5:$A$14,0)),"Check category")</f>
        <v/>
      </c>
      <c r="F89" s="19">
        <f>IF(A89="","",MONTH(A89))</f>
        <v/>
      </c>
    </row>
    <row r="90">
      <c r="A90" s="18" t="n">
        <v>46168</v>
      </c>
      <c r="B90" s="19" t="inlineStr">
        <is>
          <t>Weekend counter takings</t>
        </is>
      </c>
      <c r="C90" s="19" t="inlineStr">
        <is>
          <t>Counter sales</t>
        </is>
      </c>
      <c r="D90" s="20" t="n">
        <v>2519.57</v>
      </c>
      <c r="E90" s="19">
        <f>IFERROR(INDEX(Budget!$B$5:$B$14,MATCH(C90,Budget!$A$5:$A$14,0)),"Check category")</f>
        <v/>
      </c>
      <c r="F90" s="19">
        <f>IF(A90="","",MONTH(A90))</f>
        <v/>
      </c>
    </row>
    <row r="91">
      <c r="A91" s="18" t="n">
        <v>46179</v>
      </c>
      <c r="B91" s="19" t="inlineStr">
        <is>
          <t>Butter, eggs and dairy</t>
        </is>
      </c>
      <c r="C91" s="19" t="inlineStr">
        <is>
          <t>Flour and ingredients</t>
        </is>
      </c>
      <c r="D91" s="20" t="n">
        <v>1736.39</v>
      </c>
      <c r="E91" s="19">
        <f>IFERROR(INDEX(Budget!$B$5:$B$14,MATCH(C91,Budget!$A$5:$A$14,0)),"Check category")</f>
        <v/>
      </c>
      <c r="F91" s="19">
        <f>IF(A91="","",MONTH(A91))</f>
        <v/>
      </c>
    </row>
    <row r="92">
      <c r="A92" s="18" t="n">
        <v>46179</v>
      </c>
      <c r="B92" s="19" t="inlineStr">
        <is>
          <t>Weekend counter takings</t>
        </is>
      </c>
      <c r="C92" s="19" t="inlineStr">
        <is>
          <t>Counter sales</t>
        </is>
      </c>
      <c r="D92" s="20" t="n">
        <v>2677.33</v>
      </c>
      <c r="E92" s="19">
        <f>IFERROR(INDEX(Budget!$B$5:$B$14,MATCH(C92,Budget!$A$5:$A$14,0)),"Check category")</f>
        <v/>
      </c>
      <c r="F92" s="19">
        <f>IF(A92="","",MONTH(A92))</f>
        <v/>
      </c>
    </row>
    <row r="93">
      <c r="A93" s="18" t="n">
        <v>46180</v>
      </c>
      <c r="B93" s="19" t="inlineStr">
        <is>
          <t>Cafe bread standing order</t>
        </is>
      </c>
      <c r="C93" s="19" t="inlineStr">
        <is>
          <t>Wholesale orders</t>
        </is>
      </c>
      <c r="D93" s="20" t="n">
        <v>2111.4</v>
      </c>
      <c r="E93" s="19">
        <f>IFERROR(INDEX(Budget!$B$5:$B$14,MATCH(C93,Budget!$A$5:$A$14,0)),"Check category")</f>
        <v/>
      </c>
      <c r="F93" s="19">
        <f>IF(A93="","",MONTH(A93))</f>
        <v/>
      </c>
    </row>
    <row r="94">
      <c r="A94" s="18" t="n">
        <v>46181</v>
      </c>
      <c r="B94" s="19" t="inlineStr">
        <is>
          <t>Birthday cake order</t>
        </is>
      </c>
      <c r="C94" s="19" t="inlineStr">
        <is>
          <t>Catering and cakes</t>
        </is>
      </c>
      <c r="D94" s="20" t="n">
        <v>1431.61</v>
      </c>
      <c r="E94" s="19">
        <f>IFERROR(INDEX(Budget!$B$5:$B$14,MATCH(C94,Budget!$A$5:$A$14,0)),"Check category")</f>
        <v/>
      </c>
      <c r="F94" s="19">
        <f>IF(A94="","",MONTH(A94))</f>
        <v/>
      </c>
    </row>
    <row r="95">
      <c r="A95" s="18" t="n">
        <v>46182</v>
      </c>
      <c r="B95" s="19" t="inlineStr">
        <is>
          <t>Payroll, first half</t>
        </is>
      </c>
      <c r="C95" s="19" t="inlineStr">
        <is>
          <t>Wages</t>
        </is>
      </c>
      <c r="D95" s="20" t="n">
        <v>3085.22</v>
      </c>
      <c r="E95" s="19">
        <f>IFERROR(INDEX(Budget!$B$5:$B$14,MATCH(C95,Budget!$A$5:$A$14,0)),"Check category")</f>
        <v/>
      </c>
      <c r="F95" s="19">
        <f>IF(A95="","",MONTH(A95))</f>
        <v/>
      </c>
    </row>
    <row r="96">
      <c r="A96" s="18" t="n">
        <v>46186</v>
      </c>
      <c r="B96" s="19" t="inlineStr">
        <is>
          <t>Boxes and bags</t>
        </is>
      </c>
      <c r="C96" s="19" t="inlineStr">
        <is>
          <t>Packaging</t>
        </is>
      </c>
      <c r="D96" s="20" t="n">
        <v>654.86</v>
      </c>
      <c r="E96" s="19">
        <f>IFERROR(INDEX(Budget!$B$5:$B$14,MATCH(C96,Budget!$A$5:$A$14,0)),"Check category")</f>
        <v/>
      </c>
      <c r="F96" s="19">
        <f>IF(A96="","",MONTH(A96))</f>
        <v/>
      </c>
    </row>
    <row r="97">
      <c r="A97" s="18" t="n">
        <v>46186</v>
      </c>
      <c r="B97" s="19" t="inlineStr">
        <is>
          <t>Weekend counter takings</t>
        </is>
      </c>
      <c r="C97" s="19" t="inlineStr">
        <is>
          <t>Counter sales</t>
        </is>
      </c>
      <c r="D97" s="20" t="n">
        <v>2508.64</v>
      </c>
      <c r="E97" s="19">
        <f>IFERROR(INDEX(Budget!$B$5:$B$14,MATCH(C97,Budget!$A$5:$A$14,0)),"Check category")</f>
        <v/>
      </c>
      <c r="F97" s="19">
        <f>IF(A97="","",MONTH(A97))</f>
        <v/>
      </c>
    </row>
    <row r="98">
      <c r="A98" s="18" t="n">
        <v>46188</v>
      </c>
      <c r="B98" s="19" t="inlineStr">
        <is>
          <t>Printed menus</t>
        </is>
      </c>
      <c r="C98" s="19" t="inlineStr">
        <is>
          <t>Marketing</t>
        </is>
      </c>
      <c r="D98" s="20" t="n">
        <v>400.04</v>
      </c>
      <c r="E98" s="19">
        <f>IFERROR(INDEX(Budget!$B$5:$B$14,MATCH(C98,Budget!$A$5:$A$14,0)),"Check category")</f>
        <v/>
      </c>
      <c r="F98" s="19">
        <f>IF(A98="","",MONTH(A98))</f>
        <v/>
      </c>
    </row>
    <row r="99">
      <c r="A99" s="18" t="n">
        <v>46188</v>
      </c>
      <c r="B99" s="19" t="inlineStr">
        <is>
          <t>Shop rent</t>
        </is>
      </c>
      <c r="C99" s="19" t="inlineStr">
        <is>
          <t>Rent</t>
        </is>
      </c>
      <c r="D99" s="20" t="n">
        <v>2800</v>
      </c>
      <c r="E99" s="19">
        <f>IFERROR(INDEX(Budget!$B$5:$B$14,MATCH(C99,Budget!$A$5:$A$14,0)),"Check category")</f>
        <v/>
      </c>
      <c r="F99" s="19">
        <f>IF(A99="","",MONTH(A99))</f>
        <v/>
      </c>
    </row>
    <row r="100">
      <c r="A100" s="18" t="n">
        <v>46189</v>
      </c>
      <c r="B100" s="19" t="inlineStr">
        <is>
          <t>Flour and grain delivery</t>
        </is>
      </c>
      <c r="C100" s="19" t="inlineStr">
        <is>
          <t>Flour and ingredients</t>
        </is>
      </c>
      <c r="D100" s="20" t="n">
        <v>1791.03</v>
      </c>
      <c r="E100" s="19">
        <f>IFERROR(INDEX(Budget!$B$5:$B$14,MATCH(C100,Budget!$A$5:$A$14,0)),"Check category")</f>
        <v/>
      </c>
      <c r="F100" s="19">
        <f>IF(A100="","",MONTH(A100))</f>
        <v/>
      </c>
    </row>
    <row r="101">
      <c r="A101" s="18" t="n">
        <v>46189</v>
      </c>
      <c r="B101" s="19" t="inlineStr">
        <is>
          <t>Weekly counter takings</t>
        </is>
      </c>
      <c r="C101" s="19" t="inlineStr">
        <is>
          <t>Counter sales</t>
        </is>
      </c>
      <c r="D101" s="20" t="n">
        <v>3364.42</v>
      </c>
      <c r="E101" s="19">
        <f>IFERROR(INDEX(Budget!$B$5:$B$14,MATCH(C101,Budget!$A$5:$A$14,0)),"Check category")</f>
        <v/>
      </c>
      <c r="F101" s="19">
        <f>IF(A101="","",MONTH(A101))</f>
        <v/>
      </c>
    </row>
    <row r="102">
      <c r="A102" s="18" t="n">
        <v>46190</v>
      </c>
      <c r="B102" s="19" t="inlineStr">
        <is>
          <t>Electric and gas</t>
        </is>
      </c>
      <c r="C102" s="19" t="inlineStr">
        <is>
          <t>Utilities</t>
        </is>
      </c>
      <c r="D102" s="20" t="n">
        <v>888.05</v>
      </c>
      <c r="E102" s="19">
        <f>IFERROR(INDEX(Budget!$B$5:$B$14,MATCH(C102,Budget!$A$5:$A$14,0)),"Check category")</f>
        <v/>
      </c>
      <c r="F102" s="19">
        <f>IF(A102="","",MONTH(A102))</f>
        <v/>
      </c>
    </row>
    <row r="103">
      <c r="A103" s="18" t="n">
        <v>46195</v>
      </c>
      <c r="B103" s="19" t="inlineStr">
        <is>
          <t>Birthday cake order</t>
        </is>
      </c>
      <c r="C103" s="19" t="inlineStr">
        <is>
          <t>Catering and cakes</t>
        </is>
      </c>
      <c r="D103" s="20" t="n">
        <v>1130.22</v>
      </c>
      <c r="E103" s="19">
        <f>IFERROR(INDEX(Budget!$B$5:$B$14,MATCH(C103,Budget!$A$5:$A$14,0)),"Check category")</f>
        <v/>
      </c>
      <c r="F103" s="19">
        <f>IF(A103="","",MONTH(A103))</f>
        <v/>
      </c>
    </row>
    <row r="104">
      <c r="A104" s="18" t="n">
        <v>46195</v>
      </c>
      <c r="B104" s="19" t="inlineStr">
        <is>
          <t>Butter, eggs and dairy</t>
        </is>
      </c>
      <c r="C104" s="19" t="inlineStr">
        <is>
          <t>Flour and ingredients</t>
        </is>
      </c>
      <c r="D104" s="20" t="n">
        <v>1387.78</v>
      </c>
      <c r="E104" s="19">
        <f>IFERROR(INDEX(Budget!$B$5:$B$14,MATCH(C104,Budget!$A$5:$A$14,0)),"Check category")</f>
        <v/>
      </c>
      <c r="F104" s="19">
        <f>IF(A104="","",MONTH(A104))</f>
        <v/>
      </c>
    </row>
    <row r="105">
      <c r="A105" s="18" t="n">
        <v>46196</v>
      </c>
      <c r="B105" s="19" t="inlineStr">
        <is>
          <t>Weekend counter takings</t>
        </is>
      </c>
      <c r="C105" s="19" t="inlineStr">
        <is>
          <t>Counter sales</t>
        </is>
      </c>
      <c r="D105" s="20" t="n">
        <v>3083.07</v>
      </c>
      <c r="E105" s="19">
        <f>IFERROR(INDEX(Budget!$B$5:$B$14,MATCH(C105,Budget!$A$5:$A$14,0)),"Check category")</f>
        <v/>
      </c>
      <c r="F105" s="19">
        <f>IF(A105="","",MONTH(A105))</f>
        <v/>
      </c>
    </row>
    <row r="106">
      <c r="A106" s="18" t="n">
        <v>46197</v>
      </c>
      <c r="B106" s="19" t="inlineStr">
        <is>
          <t>Cafe bread standing order</t>
        </is>
      </c>
      <c r="C106" s="19" t="inlineStr">
        <is>
          <t>Wholesale orders</t>
        </is>
      </c>
      <c r="D106" s="20" t="n">
        <v>1871.35</v>
      </c>
      <c r="E106" s="19">
        <f>IFERROR(INDEX(Budget!$B$5:$B$14,MATCH(C106,Budget!$A$5:$A$14,0)),"Check category")</f>
        <v/>
      </c>
      <c r="F106" s="19">
        <f>IF(A106="","",MONTH(A106))</f>
        <v/>
      </c>
    </row>
    <row r="107">
      <c r="A107" s="18" t="n">
        <v>46197</v>
      </c>
      <c r="B107" s="19" t="inlineStr">
        <is>
          <t>Payroll, first half</t>
        </is>
      </c>
      <c r="C107" s="19" t="inlineStr">
        <is>
          <t>Wages</t>
        </is>
      </c>
      <c r="D107" s="20" t="n">
        <v>3259.6</v>
      </c>
      <c r="E107" s="19">
        <f>IFERROR(INDEX(Budget!$B$5:$B$14,MATCH(C107,Budget!$A$5:$A$14,0)),"Check category")</f>
        <v/>
      </c>
      <c r="F107" s="19">
        <f>IF(A107="","",MONTH(A107))</f>
        <v/>
      </c>
    </row>
    <row r="108">
      <c r="A108" s="18" t="n"/>
      <c r="B108" s="19" t="n"/>
      <c r="C108" s="19" t="n"/>
      <c r="D108" s="20" t="n"/>
      <c r="E108" s="19">
        <f>IF(C108="","",IFERROR(INDEX(Budget!$B$5:$B$14,MATCH(C108,Budget!$A$5:$A$14,0)),"Check category"))</f>
        <v/>
      </c>
      <c r="F108" s="19">
        <f>IF(A108="","",MONTH(A108))</f>
        <v/>
      </c>
    </row>
    <row r="109">
      <c r="A109" s="18" t="n"/>
      <c r="B109" s="19" t="n"/>
      <c r="C109" s="19" t="n"/>
      <c r="D109" s="20" t="n"/>
      <c r="E109" s="19">
        <f>IF(C109="","",IFERROR(INDEX(Budget!$B$5:$B$14,MATCH(C109,Budget!$A$5:$A$14,0)),"Check category"))</f>
        <v/>
      </c>
      <c r="F109" s="19">
        <f>IF(A109="","",MONTH(A109))</f>
        <v/>
      </c>
    </row>
    <row r="110">
      <c r="A110" s="18" t="n"/>
      <c r="B110" s="19" t="n"/>
      <c r="C110" s="19" t="n"/>
      <c r="D110" s="20" t="n"/>
      <c r="E110" s="19">
        <f>IF(C110="","",IFERROR(INDEX(Budget!$B$5:$B$14,MATCH(C110,Budget!$A$5:$A$14,0)),"Check category"))</f>
        <v/>
      </c>
      <c r="F110" s="19">
        <f>IF(A110="","",MONTH(A110))</f>
        <v/>
      </c>
    </row>
    <row r="111">
      <c r="A111" s="18" t="n"/>
      <c r="B111" s="19" t="n"/>
      <c r="C111" s="19" t="n"/>
      <c r="D111" s="20" t="n"/>
      <c r="E111" s="19">
        <f>IF(C111="","",IFERROR(INDEX(Budget!$B$5:$B$14,MATCH(C111,Budget!$A$5:$A$14,0)),"Check category"))</f>
        <v/>
      </c>
      <c r="F111" s="19">
        <f>IF(A111="","",MONTH(A111))</f>
        <v/>
      </c>
    </row>
    <row r="112">
      <c r="A112" s="18" t="n"/>
      <c r="B112" s="19" t="n"/>
      <c r="C112" s="19" t="n"/>
      <c r="D112" s="20" t="n"/>
      <c r="E112" s="19">
        <f>IF(C112="","",IFERROR(INDEX(Budget!$B$5:$B$14,MATCH(C112,Budget!$A$5:$A$14,0)),"Check category"))</f>
        <v/>
      </c>
      <c r="F112" s="19">
        <f>IF(A112="","",MONTH(A112))</f>
        <v/>
      </c>
    </row>
    <row r="113">
      <c r="A113" s="18" t="n"/>
      <c r="B113" s="19" t="n"/>
      <c r="C113" s="19" t="n"/>
      <c r="D113" s="20" t="n"/>
      <c r="E113" s="19">
        <f>IF(C113="","",IFERROR(INDEX(Budget!$B$5:$B$14,MATCH(C113,Budget!$A$5:$A$14,0)),"Check category"))</f>
        <v/>
      </c>
      <c r="F113" s="19">
        <f>IF(A113="","",MONTH(A113))</f>
        <v/>
      </c>
    </row>
    <row r="114">
      <c r="A114" s="18" t="n"/>
      <c r="B114" s="19" t="n"/>
      <c r="C114" s="19" t="n"/>
      <c r="D114" s="20" t="n"/>
      <c r="E114" s="19">
        <f>IF(C114="","",IFERROR(INDEX(Budget!$B$5:$B$14,MATCH(C114,Budget!$A$5:$A$14,0)),"Check category"))</f>
        <v/>
      </c>
      <c r="F114" s="19">
        <f>IF(A114="","",MONTH(A114))</f>
        <v/>
      </c>
    </row>
    <row r="115">
      <c r="A115" s="18" t="n"/>
      <c r="B115" s="19" t="n"/>
      <c r="C115" s="19" t="n"/>
      <c r="D115" s="20" t="n"/>
      <c r="E115" s="19">
        <f>IF(C115="","",IFERROR(INDEX(Budget!$B$5:$B$14,MATCH(C115,Budget!$A$5:$A$14,0)),"Check category"))</f>
        <v/>
      </c>
      <c r="F115" s="19">
        <f>IF(A115="","",MONTH(A115))</f>
        <v/>
      </c>
    </row>
    <row r="116">
      <c r="A116" s="18" t="n"/>
      <c r="B116" s="19" t="n"/>
      <c r="C116" s="19" t="n"/>
      <c r="D116" s="20" t="n"/>
      <c r="E116" s="19">
        <f>IF(C116="","",IFERROR(INDEX(Budget!$B$5:$B$14,MATCH(C116,Budget!$A$5:$A$14,0)),"Check category"))</f>
        <v/>
      </c>
      <c r="F116" s="19">
        <f>IF(A116="","",MONTH(A116))</f>
        <v/>
      </c>
    </row>
    <row r="117">
      <c r="A117" s="18" t="n"/>
      <c r="B117" s="19" t="n"/>
      <c r="C117" s="19" t="n"/>
      <c r="D117" s="20" t="n"/>
      <c r="E117" s="19">
        <f>IF(C117="","",IFERROR(INDEX(Budget!$B$5:$B$14,MATCH(C117,Budget!$A$5:$A$14,0)),"Check category"))</f>
        <v/>
      </c>
      <c r="F117" s="19">
        <f>IF(A117="","",MONTH(A117))</f>
        <v/>
      </c>
    </row>
    <row r="118">
      <c r="A118" s="18" t="n"/>
      <c r="B118" s="19" t="n"/>
      <c r="C118" s="19" t="n"/>
      <c r="D118" s="20" t="n"/>
      <c r="E118" s="19">
        <f>IF(C118="","",IFERROR(INDEX(Budget!$B$5:$B$14,MATCH(C118,Budget!$A$5:$A$14,0)),"Check category"))</f>
        <v/>
      </c>
      <c r="F118" s="19">
        <f>IF(A118="","",MONTH(A118))</f>
        <v/>
      </c>
    </row>
    <row r="119">
      <c r="A119" s="18" t="n"/>
      <c r="B119" s="19" t="n"/>
      <c r="C119" s="19" t="n"/>
      <c r="D119" s="20" t="n"/>
      <c r="E119" s="19">
        <f>IF(C119="","",IFERROR(INDEX(Budget!$B$5:$B$14,MATCH(C119,Budget!$A$5:$A$14,0)),"Check category"))</f>
        <v/>
      </c>
      <c r="F119" s="19">
        <f>IF(A119="","",MONTH(A119))</f>
        <v/>
      </c>
    </row>
    <row r="120">
      <c r="A120" s="18" t="n"/>
      <c r="B120" s="19" t="n"/>
      <c r="C120" s="19" t="n"/>
      <c r="D120" s="20" t="n"/>
      <c r="E120" s="19">
        <f>IF(C120="","",IFERROR(INDEX(Budget!$B$5:$B$14,MATCH(C120,Budget!$A$5:$A$14,0)),"Check category"))</f>
        <v/>
      </c>
      <c r="F120" s="19">
        <f>IF(A120="","",MONTH(A120))</f>
        <v/>
      </c>
    </row>
    <row r="121">
      <c r="A121" s="18" t="n"/>
      <c r="B121" s="19" t="n"/>
      <c r="C121" s="19" t="n"/>
      <c r="D121" s="20" t="n"/>
      <c r="E121" s="19">
        <f>IF(C121="","",IFERROR(INDEX(Budget!$B$5:$B$14,MATCH(C121,Budget!$A$5:$A$14,0)),"Check category"))</f>
        <v/>
      </c>
      <c r="F121" s="19">
        <f>IF(A121="","",MONTH(A121))</f>
        <v/>
      </c>
    </row>
    <row r="122">
      <c r="A122" s="18" t="n"/>
      <c r="B122" s="19" t="n"/>
      <c r="C122" s="19" t="n"/>
      <c r="D122" s="20" t="n"/>
      <c r="E122" s="19">
        <f>IF(C122="","",IFERROR(INDEX(Budget!$B$5:$B$14,MATCH(C122,Budget!$A$5:$A$14,0)),"Check category"))</f>
        <v/>
      </c>
      <c r="F122" s="19">
        <f>IF(A122="","",MONTH(A122))</f>
        <v/>
      </c>
    </row>
    <row r="123">
      <c r="A123" s="18" t="n"/>
      <c r="B123" s="19" t="n"/>
      <c r="C123" s="19" t="n"/>
      <c r="D123" s="20" t="n"/>
      <c r="E123" s="19">
        <f>IF(C123="","",IFERROR(INDEX(Budget!$B$5:$B$14,MATCH(C123,Budget!$A$5:$A$14,0)),"Check category"))</f>
        <v/>
      </c>
      <c r="F123" s="19">
        <f>IF(A123="","",MONTH(A123))</f>
        <v/>
      </c>
    </row>
    <row r="124">
      <c r="A124" s="18" t="n"/>
      <c r="B124" s="19" t="n"/>
      <c r="C124" s="19" t="n"/>
      <c r="D124" s="20" t="n"/>
      <c r="E124" s="19">
        <f>IF(C124="","",IFERROR(INDEX(Budget!$B$5:$B$14,MATCH(C124,Budget!$A$5:$A$14,0)),"Check category"))</f>
        <v/>
      </c>
      <c r="F124" s="19">
        <f>IF(A124="","",MONTH(A124))</f>
        <v/>
      </c>
    </row>
    <row r="125">
      <c r="A125" s="18" t="n"/>
      <c r="B125" s="19" t="n"/>
      <c r="C125" s="19" t="n"/>
      <c r="D125" s="20" t="n"/>
      <c r="E125" s="19">
        <f>IF(C125="","",IFERROR(INDEX(Budget!$B$5:$B$14,MATCH(C125,Budget!$A$5:$A$14,0)),"Check category"))</f>
        <v/>
      </c>
      <c r="F125" s="19">
        <f>IF(A125="","",MONTH(A125))</f>
        <v/>
      </c>
    </row>
    <row r="126">
      <c r="A126" s="18" t="n"/>
      <c r="B126" s="19" t="n"/>
      <c r="C126" s="19" t="n"/>
      <c r="D126" s="20" t="n"/>
      <c r="E126" s="19">
        <f>IF(C126="","",IFERROR(INDEX(Budget!$B$5:$B$14,MATCH(C126,Budget!$A$5:$A$14,0)),"Check category"))</f>
        <v/>
      </c>
      <c r="F126" s="19">
        <f>IF(A126="","",MONTH(A126))</f>
        <v/>
      </c>
    </row>
    <row r="127">
      <c r="A127" s="18" t="n"/>
      <c r="B127" s="19" t="n"/>
      <c r="C127" s="19" t="n"/>
      <c r="D127" s="20" t="n"/>
      <c r="E127" s="19">
        <f>IF(C127="","",IFERROR(INDEX(Budget!$B$5:$B$14,MATCH(C127,Budget!$A$5:$A$14,0)),"Check category"))</f>
        <v/>
      </c>
      <c r="F127" s="19">
        <f>IF(A127="","",MONTH(A127))</f>
        <v/>
      </c>
    </row>
    <row r="128">
      <c r="A128" s="18" t="n"/>
      <c r="B128" s="19" t="n"/>
      <c r="C128" s="19" t="n"/>
      <c r="D128" s="20" t="n"/>
      <c r="E128" s="19">
        <f>IF(C128="","",IFERROR(INDEX(Budget!$B$5:$B$14,MATCH(C128,Budget!$A$5:$A$14,0)),"Check category"))</f>
        <v/>
      </c>
      <c r="F128" s="19">
        <f>IF(A128="","",MONTH(A128))</f>
        <v/>
      </c>
    </row>
    <row r="129">
      <c r="A129" s="18" t="n"/>
      <c r="B129" s="19" t="n"/>
      <c r="C129" s="19" t="n"/>
      <c r="D129" s="20" t="n"/>
      <c r="E129" s="19">
        <f>IF(C129="","",IFERROR(INDEX(Budget!$B$5:$B$14,MATCH(C129,Budget!$A$5:$A$14,0)),"Check category"))</f>
        <v/>
      </c>
      <c r="F129" s="19">
        <f>IF(A129="","",MONTH(A129))</f>
        <v/>
      </c>
    </row>
    <row r="130">
      <c r="A130" s="18" t="n"/>
      <c r="B130" s="19" t="n"/>
      <c r="C130" s="19" t="n"/>
      <c r="D130" s="20" t="n"/>
      <c r="E130" s="19">
        <f>IF(C130="","",IFERROR(INDEX(Budget!$B$5:$B$14,MATCH(C130,Budget!$A$5:$A$14,0)),"Check category"))</f>
        <v/>
      </c>
      <c r="F130" s="19">
        <f>IF(A130="","",MONTH(A130))</f>
        <v/>
      </c>
    </row>
    <row r="131">
      <c r="A131" s="18" t="n"/>
      <c r="B131" s="19" t="n"/>
      <c r="C131" s="19" t="n"/>
      <c r="D131" s="20" t="n"/>
      <c r="E131" s="19">
        <f>IF(C131="","",IFERROR(INDEX(Budget!$B$5:$B$14,MATCH(C131,Budget!$A$5:$A$14,0)),"Check category"))</f>
        <v/>
      </c>
      <c r="F131" s="19">
        <f>IF(A131="","",MONTH(A131))</f>
        <v/>
      </c>
    </row>
    <row r="132">
      <c r="A132" s="18" t="n"/>
      <c r="B132" s="19" t="n"/>
      <c r="C132" s="19" t="n"/>
      <c r="D132" s="20" t="n"/>
      <c r="E132" s="19">
        <f>IF(C132="","",IFERROR(INDEX(Budget!$B$5:$B$14,MATCH(C132,Budget!$A$5:$A$14,0)),"Check category"))</f>
        <v/>
      </c>
      <c r="F132" s="19">
        <f>IF(A132="","",MONTH(A132))</f>
        <v/>
      </c>
    </row>
    <row r="133">
      <c r="A133" s="18" t="n"/>
      <c r="B133" s="19" t="n"/>
      <c r="C133" s="19" t="n"/>
      <c r="D133" s="20" t="n"/>
      <c r="E133" s="19">
        <f>IF(C133="","",IFERROR(INDEX(Budget!$B$5:$B$14,MATCH(C133,Budget!$A$5:$A$14,0)),"Check category"))</f>
        <v/>
      </c>
      <c r="F133" s="19">
        <f>IF(A133="","",MONTH(A133))</f>
        <v/>
      </c>
    </row>
    <row r="134">
      <c r="A134" s="18" t="n"/>
      <c r="B134" s="19" t="n"/>
      <c r="C134" s="19" t="n"/>
      <c r="D134" s="20" t="n"/>
      <c r="E134" s="19">
        <f>IF(C134="","",IFERROR(INDEX(Budget!$B$5:$B$14,MATCH(C134,Budget!$A$5:$A$14,0)),"Check category"))</f>
        <v/>
      </c>
      <c r="F134" s="19">
        <f>IF(A134="","",MONTH(A134))</f>
        <v/>
      </c>
    </row>
    <row r="135">
      <c r="A135" s="18" t="n"/>
      <c r="B135" s="19" t="n"/>
      <c r="C135" s="19" t="n"/>
      <c r="D135" s="20" t="n"/>
      <c r="E135" s="19">
        <f>IF(C135="","",IFERROR(INDEX(Budget!$B$5:$B$14,MATCH(C135,Budget!$A$5:$A$14,0)),"Check category"))</f>
        <v/>
      </c>
      <c r="F135" s="19">
        <f>IF(A135="","",MONTH(A135))</f>
        <v/>
      </c>
    </row>
    <row r="136">
      <c r="A136" s="18" t="n"/>
      <c r="B136" s="19" t="n"/>
      <c r="C136" s="19" t="n"/>
      <c r="D136" s="20" t="n"/>
      <c r="E136" s="19">
        <f>IF(C136="","",IFERROR(INDEX(Budget!$B$5:$B$14,MATCH(C136,Budget!$A$5:$A$14,0)),"Check category"))</f>
        <v/>
      </c>
      <c r="F136" s="19">
        <f>IF(A136="","",MONTH(A136))</f>
        <v/>
      </c>
    </row>
    <row r="137">
      <c r="A137" s="18" t="n"/>
      <c r="B137" s="19" t="n"/>
      <c r="C137" s="19" t="n"/>
      <c r="D137" s="20" t="n"/>
      <c r="E137" s="19">
        <f>IF(C137="","",IFERROR(INDEX(Budget!$B$5:$B$14,MATCH(C137,Budget!$A$5:$A$14,0)),"Check category"))</f>
        <v/>
      </c>
      <c r="F137" s="19">
        <f>IF(A137="","",MONTH(A137))</f>
        <v/>
      </c>
    </row>
    <row r="138">
      <c r="A138" s="18" t="n"/>
      <c r="B138" s="19" t="n"/>
      <c r="C138" s="19" t="n"/>
      <c r="D138" s="20" t="n"/>
      <c r="E138" s="19">
        <f>IF(C138="","",IFERROR(INDEX(Budget!$B$5:$B$14,MATCH(C138,Budget!$A$5:$A$14,0)),"Check category"))</f>
        <v/>
      </c>
      <c r="F138" s="19">
        <f>IF(A138="","",MONTH(A138))</f>
        <v/>
      </c>
    </row>
    <row r="139">
      <c r="A139" s="18" t="n"/>
      <c r="B139" s="19" t="n"/>
      <c r="C139" s="19" t="n"/>
      <c r="D139" s="20" t="n"/>
      <c r="E139" s="19">
        <f>IF(C139="","",IFERROR(INDEX(Budget!$B$5:$B$14,MATCH(C139,Budget!$A$5:$A$14,0)),"Check category"))</f>
        <v/>
      </c>
      <c r="F139" s="19">
        <f>IF(A139="","",MONTH(A139))</f>
        <v/>
      </c>
    </row>
    <row r="140">
      <c r="A140" s="18" t="n"/>
      <c r="B140" s="19" t="n"/>
      <c r="C140" s="19" t="n"/>
      <c r="D140" s="20" t="n"/>
      <c r="E140" s="19">
        <f>IF(C140="","",IFERROR(INDEX(Budget!$B$5:$B$14,MATCH(C140,Budget!$A$5:$A$14,0)),"Check category"))</f>
        <v/>
      </c>
      <c r="F140" s="19">
        <f>IF(A140="","",MONTH(A140))</f>
        <v/>
      </c>
    </row>
    <row r="141">
      <c r="A141" s="18" t="n"/>
      <c r="B141" s="19" t="n"/>
      <c r="C141" s="19" t="n"/>
      <c r="D141" s="20" t="n"/>
      <c r="E141" s="19">
        <f>IF(C141="","",IFERROR(INDEX(Budget!$B$5:$B$14,MATCH(C141,Budget!$A$5:$A$14,0)),"Check category"))</f>
        <v/>
      </c>
      <c r="F141" s="19">
        <f>IF(A141="","",MONTH(A141))</f>
        <v/>
      </c>
    </row>
    <row r="142">
      <c r="A142" s="18" t="n"/>
      <c r="B142" s="19" t="n"/>
      <c r="C142" s="19" t="n"/>
      <c r="D142" s="20" t="n"/>
      <c r="E142" s="19">
        <f>IF(C142="","",IFERROR(INDEX(Budget!$B$5:$B$14,MATCH(C142,Budget!$A$5:$A$14,0)),"Check category"))</f>
        <v/>
      </c>
      <c r="F142" s="19">
        <f>IF(A142="","",MONTH(A142))</f>
        <v/>
      </c>
    </row>
    <row r="143">
      <c r="A143" s="18" t="n"/>
      <c r="B143" s="19" t="n"/>
      <c r="C143" s="19" t="n"/>
      <c r="D143" s="20" t="n"/>
      <c r="E143" s="19">
        <f>IF(C143="","",IFERROR(INDEX(Budget!$B$5:$B$14,MATCH(C143,Budget!$A$5:$A$14,0)),"Check category"))</f>
        <v/>
      </c>
      <c r="F143" s="19">
        <f>IF(A143="","",MONTH(A143))</f>
        <v/>
      </c>
    </row>
    <row r="144">
      <c r="A144" s="18" t="n"/>
      <c r="B144" s="19" t="n"/>
      <c r="C144" s="19" t="n"/>
      <c r="D144" s="20" t="n"/>
      <c r="E144" s="19">
        <f>IF(C144="","",IFERROR(INDEX(Budget!$B$5:$B$14,MATCH(C144,Budget!$A$5:$A$14,0)),"Check category"))</f>
        <v/>
      </c>
      <c r="F144" s="19">
        <f>IF(A144="","",MONTH(A144))</f>
        <v/>
      </c>
    </row>
    <row r="145">
      <c r="A145" s="18" t="n"/>
      <c r="B145" s="19" t="n"/>
      <c r="C145" s="19" t="n"/>
      <c r="D145" s="20" t="n"/>
      <c r="E145" s="19">
        <f>IF(C145="","",IFERROR(INDEX(Budget!$B$5:$B$14,MATCH(C145,Budget!$A$5:$A$14,0)),"Check category"))</f>
        <v/>
      </c>
      <c r="F145" s="19">
        <f>IF(A145="","",MONTH(A145))</f>
        <v/>
      </c>
    </row>
    <row r="146">
      <c r="A146" s="18" t="n"/>
      <c r="B146" s="19" t="n"/>
      <c r="C146" s="19" t="n"/>
      <c r="D146" s="20" t="n"/>
      <c r="E146" s="19">
        <f>IF(C146="","",IFERROR(INDEX(Budget!$B$5:$B$14,MATCH(C146,Budget!$A$5:$A$14,0)),"Check category"))</f>
        <v/>
      </c>
      <c r="F146" s="19">
        <f>IF(A146="","",MONTH(A146))</f>
        <v/>
      </c>
    </row>
    <row r="147">
      <c r="A147" s="18" t="n"/>
      <c r="B147" s="19" t="n"/>
      <c r="C147" s="19" t="n"/>
      <c r="D147" s="20" t="n"/>
      <c r="E147" s="19">
        <f>IF(C147="","",IFERROR(INDEX(Budget!$B$5:$B$14,MATCH(C147,Budget!$A$5:$A$14,0)),"Check category"))</f>
        <v/>
      </c>
      <c r="F147" s="19">
        <f>IF(A147="","",MONTH(A147))</f>
        <v/>
      </c>
    </row>
  </sheetData>
  <conditionalFormatting sqref="E5:E147">
    <cfRule type="cellIs" priority="1" operator="equal" dxfId="0">
      <formula>"Check category"</formula>
    </cfRule>
  </conditionalFormatting>
  <dataValidations count="3">
    <dataValidation sqref="C5:C147" showDropDown="0" showInputMessage="0" showErrorMessage="1" allowBlank="0" errorTitle="Category" error="Pick a category from the list (set them on the Budget sheet)." type="list">
      <formula1>=CategoryList</formula1>
    </dataValidation>
    <dataValidation sqref="D5:D147" showDropDown="0" showInputMessage="0" showErrorMessage="1" allowBlank="0" errorTitle="Amount" error="Enter a positive amount. Type (Income/Expense) comes from the category." type="decimal" operator="greaterThan">
      <formula1>0</formula1>
    </dataValidation>
    <dataValidation sqref="A5:A147" showDropDown="0" showInputMessage="0" showErrorMessage="1" allowBlank="0" errorTitle="Date" error="Enter a date in 2026." type="date" operator="between">
      <formula1>DATE(2026,1,1)</formula1>
      <formula2>DATE(2026,12,31)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F3A68"/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26" customWidth="1" min="1" max="1"/>
    <col width="11" customWidth="1" min="2" max="2"/>
    <col width="16" customWidth="1" min="3" max="3"/>
    <col width="16" customWidth="1" min="4" max="4"/>
  </cols>
  <sheetData>
    <row r="1">
      <c r="A1" s="15" t="inlineStr">
        <is>
          <t>Monthly budget by category</t>
        </is>
      </c>
    </row>
    <row r="2">
      <c r="A2" s="16" t="inlineStr">
        <is>
          <t>EXAMPLE DATA: fictional bakery. Edit the blue cells to set your own budget.</t>
        </is>
      </c>
    </row>
    <row r="4">
      <c r="A4" s="21" t="inlineStr">
        <is>
          <t>Category</t>
        </is>
      </c>
      <c r="B4" s="21" t="inlineStr">
        <is>
          <t>Type</t>
        </is>
      </c>
      <c r="C4" s="22" t="inlineStr">
        <is>
          <t>Monthly budget</t>
        </is>
      </c>
      <c r="D4" s="22" t="inlineStr">
        <is>
          <t>Annual budget</t>
        </is>
      </c>
    </row>
    <row r="5">
      <c r="A5" s="23" t="inlineStr">
        <is>
          <t>Counter sales</t>
        </is>
      </c>
      <c r="B5" s="23" t="inlineStr">
        <is>
          <t>Income</t>
        </is>
      </c>
      <c r="C5" s="24" t="n">
        <v>9800</v>
      </c>
      <c r="D5" s="25">
        <f>C5*12</f>
        <v/>
      </c>
    </row>
    <row r="6">
      <c r="A6" s="23" t="inlineStr">
        <is>
          <t>Wholesale orders</t>
        </is>
      </c>
      <c r="B6" s="23" t="inlineStr">
        <is>
          <t>Income</t>
        </is>
      </c>
      <c r="C6" s="24" t="n">
        <v>3400</v>
      </c>
      <c r="D6" s="25">
        <f>C6*12</f>
        <v/>
      </c>
    </row>
    <row r="7">
      <c r="A7" s="23" t="inlineStr">
        <is>
          <t>Catering and cakes</t>
        </is>
      </c>
      <c r="B7" s="23" t="inlineStr">
        <is>
          <t>Income</t>
        </is>
      </c>
      <c r="C7" s="24" t="n">
        <v>2100</v>
      </c>
      <c r="D7" s="25">
        <f>C7*12</f>
        <v/>
      </c>
    </row>
    <row r="8">
      <c r="A8" s="23" t="inlineStr">
        <is>
          <t>Flour and ingredients</t>
        </is>
      </c>
      <c r="B8" s="23" t="inlineStr">
        <is>
          <t>Expense</t>
        </is>
      </c>
      <c r="C8" s="24" t="n">
        <v>3900</v>
      </c>
      <c r="D8" s="25">
        <f>C8*12</f>
        <v/>
      </c>
    </row>
    <row r="9">
      <c r="A9" s="23" t="inlineStr">
        <is>
          <t>Packaging</t>
        </is>
      </c>
      <c r="B9" s="23" t="inlineStr">
        <is>
          <t>Expense</t>
        </is>
      </c>
      <c r="C9" s="24" t="n">
        <v>650</v>
      </c>
      <c r="D9" s="25">
        <f>C9*12</f>
        <v/>
      </c>
    </row>
    <row r="10">
      <c r="A10" s="23" t="inlineStr">
        <is>
          <t>Rent</t>
        </is>
      </c>
      <c r="B10" s="23" t="inlineStr">
        <is>
          <t>Expense</t>
        </is>
      </c>
      <c r="C10" s="24" t="n">
        <v>2800</v>
      </c>
      <c r="D10" s="25">
        <f>C10*12</f>
        <v/>
      </c>
    </row>
    <row r="11">
      <c r="A11" s="23" t="inlineStr">
        <is>
          <t>Utilities</t>
        </is>
      </c>
      <c r="B11" s="23" t="inlineStr">
        <is>
          <t>Expense</t>
        </is>
      </c>
      <c r="C11" s="24" t="n">
        <v>720</v>
      </c>
      <c r="D11" s="25">
        <f>C11*12</f>
        <v/>
      </c>
    </row>
    <row r="12">
      <c r="A12" s="23" t="inlineStr">
        <is>
          <t>Wages</t>
        </is>
      </c>
      <c r="B12" s="23" t="inlineStr">
        <is>
          <t>Expense</t>
        </is>
      </c>
      <c r="C12" s="24" t="n">
        <v>5600</v>
      </c>
      <c r="D12" s="25">
        <f>C12*12</f>
        <v/>
      </c>
    </row>
    <row r="13">
      <c r="A13" s="23" t="inlineStr">
        <is>
          <t>Equipment and repairs</t>
        </is>
      </c>
      <c r="B13" s="23" t="inlineStr">
        <is>
          <t>Expense</t>
        </is>
      </c>
      <c r="C13" s="24" t="n">
        <v>400</v>
      </c>
      <c r="D13" s="25">
        <f>C13*12</f>
        <v/>
      </c>
    </row>
    <row r="14">
      <c r="A14" s="23" t="inlineStr">
        <is>
          <t>Marketing</t>
        </is>
      </c>
      <c r="B14" s="23" t="inlineStr">
        <is>
          <t>Expense</t>
        </is>
      </c>
      <c r="C14" s="24" t="n">
        <v>300</v>
      </c>
      <c r="D14" s="25">
        <f>C14*12</f>
        <v/>
      </c>
    </row>
  </sheetData>
  <dataValidations count="2">
    <dataValidation sqref="C5:C14" showDropDown="0" showInputMessage="0" showErrorMessage="1" allowBlank="0" errorTitle="Budget" error="Enter a number of 0 or more." type="decimal" operator="greaterThanOrEqual">
      <formula1>0</formula1>
    </dataValidation>
    <dataValidation sqref="B5:B14" showDropDown="0" showInputMessage="0" showErrorMessage="1" allowBlank="0" type="list">
      <formula1>"Income,Expense"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F3A68"/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5" t="inlineStr">
        <is>
          <t>How to use this template</t>
        </is>
      </c>
    </row>
    <row r="3">
      <c r="A3" s="26" t="inlineStr">
        <is>
          <t>1. Budget sheet: rename the categories and set a monthly budget for each (blue cells). Type must be Income or Expense.</t>
        </is>
      </c>
    </row>
    <row r="4">
      <c r="A4" s="26" t="inlineStr">
        <is>
          <t>2. Transactions sheet: delete the example rows, then add one row per payment or sale. Pick the category from the dropdown.</t>
        </is>
      </c>
    </row>
    <row r="5">
      <c r="A5" s="26" t="inlineStr">
        <is>
          <t>3. Type and Month fill in automatically. A red "Check category" flag means the category is not on the Budget sheet.</t>
        </is>
      </c>
    </row>
    <row r="6">
      <c r="A6" s="26" t="inlineStr">
        <is>
          <t>4. Dashboard: totals, monthly net, over/under budget and the chart update by themselves.</t>
        </is>
      </c>
    </row>
    <row r="7">
      <c r="A7" s="26" t="inlineStr">
        <is>
          <t>5. Over budget months show in red; under budget in green. The bar in "% of annual budget" fills up as you spend.</t>
        </is>
      </c>
    </row>
    <row r="8">
      <c r="A8" s="26" t="inlineStr"/>
    </row>
    <row r="9">
      <c r="A9" s="26" t="inlineStr">
        <is>
          <t>All names and numbers in this file are EXAMPLE DATA for a fictional bakery. Sample written for portfolio purposes; not client work.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Sample template</dc:creator>
  <dc:title xmlns:dc="http://purl.org/dc/elements/1.1/">Bramblecask Bakeshop 2026 Budget Tracker (example data)</dc:title>
  <dcterms:created xmlns:dcterms="http://purl.org/dc/terms/" xmlns:xsi="http://www.w3.org/2001/XMLSchema-instance" xsi:type="dcterms:W3CDTF">2026-10-20T19:34:55Z</dcterms:created>
  <dcterms:modified xmlns:dcterms="http://purl.org/dc/terms/" xmlns:xsi="http://www.w3.org/2001/XMLSchema-instance" xsi:type="dcterms:W3CDTF">2026-10-20T19:34:55Z</dcterms:modified>
</cp:coreProperties>
</file>