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" sheetId="1" state="visible" r:id="rId3"/>
    <sheet name="Inputs" sheetId="2" state="visible" r:id="rId4"/>
    <sheet name="Capex_Funding" sheetId="3" state="visible" r:id="rId5"/>
    <sheet name="Revenue_Costs" sheetId="4" state="visible" r:id="rId6"/>
    <sheet name="Loan" sheetId="5" state="visible" r:id="rId7"/>
    <sheet name="PnL" sheetId="6" state="visible" r:id="rId8"/>
    <sheet name="CashFlow" sheetId="7" state="visible" r:id="rId9"/>
    <sheet name="BalanceSheet" sheetId="8" state="visible" r:id="rId10"/>
    <sheet name="Returns" sheetId="9" state="visible" r:id="rId11"/>
    <sheet name="Sensitivity" sheetId="10" state="visible" r:id="rId12"/>
    <sheet name="Checks" sheetId="11" state="visible" r:id="rId13"/>
    <sheet name="Sens_Calc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<sst xmlns="http://schemas.openxmlformats.org/spreadsheetml/2006/main" count="2307" uniqueCount="314">
  <si>
    <t xml:space="preserve">Ambravik Cold Chain (fictional)</t>
  </si>
  <si>
    <t xml:space="preserve">5,000 MT multi-commodity cold storage with rooftop solar - financial model summary</t>
  </si>
  <si>
    <t xml:space="preserve">EXAMPLE DATA - fictional project, invented numbers, for demonstration only. Units Rs lakh unless stated.</t>
  </si>
  <si>
    <t xml:space="preserve">Key results</t>
  </si>
  <si>
    <t xml:space="preserve">10-year snapshot</t>
  </si>
  <si>
    <t xml:space="preserve">Y1</t>
  </si>
  <si>
    <t xml:space="preserve">Y2</t>
  </si>
  <si>
    <t xml:space="preserve">Y3</t>
  </si>
  <si>
    <t xml:space="preserve">Y4</t>
  </si>
  <si>
    <t xml:space="preserve">Y5</t>
  </si>
  <si>
    <t xml:space="preserve">Y6</t>
  </si>
  <si>
    <t xml:space="preserve">Y7</t>
  </si>
  <si>
    <t xml:space="preserve">Y8</t>
  </si>
  <si>
    <t xml:space="preserve">Y9</t>
  </si>
  <si>
    <t xml:space="preserve">Y10</t>
  </si>
  <si>
    <t xml:space="preserve">Total project cost</t>
  </si>
  <si>
    <t xml:space="preserve">Utilisation</t>
  </si>
  <si>
    <t xml:space="preserve">Term loan</t>
  </si>
  <si>
    <t xml:space="preserve">Revenue</t>
  </si>
  <si>
    <t xml:space="preserve">Promoter equity</t>
  </si>
  <si>
    <t xml:space="preserve">EBITDA</t>
  </si>
  <si>
    <t xml:space="preserve">Debt : equity</t>
  </si>
  <si>
    <t xml:space="preserve">PAT</t>
  </si>
  <si>
    <t xml:space="preserve">Project IRR</t>
  </si>
  <si>
    <t xml:space="preserve">DSCR</t>
  </si>
  <si>
    <t xml:space="preserve">Project NPV</t>
  </si>
  <si>
    <t xml:space="preserve">Loan balance</t>
  </si>
  <si>
    <t xml:space="preserve">Equity IRR</t>
  </si>
  <si>
    <t xml:space="preserve">Closing cash</t>
  </si>
  <si>
    <t xml:space="preserve">Equity NPV</t>
  </si>
  <si>
    <t xml:space="preserve">Benefit-cost ratio</t>
  </si>
  <si>
    <t xml:space="preserve">Sensitivity (project IRR / minimum DSCR)</t>
  </si>
  <si>
    <t xml:space="preserve">Minimum DSCR</t>
  </si>
  <si>
    <t xml:space="preserve">Average DSCR</t>
  </si>
  <si>
    <t xml:space="preserve">Simple payback</t>
  </si>
  <si>
    <t xml:space="preserve">Discounted payback</t>
  </si>
  <si>
    <t xml:space="preserve">Break-even utilisation (rep. year)</t>
  </si>
  <si>
    <t xml:space="preserve">Cash break-even utilisation (rep. year)</t>
  </si>
  <si>
    <t xml:space="preserve">Model checks</t>
  </si>
  <si>
    <t xml:space="preserve">DSCR covenant met (min vs lender minimum)</t>
  </si>
  <si>
    <t xml:space="preserve">Built with live formulas: change any blue cell on the Inputs sheet and every sheet recalculates.</t>
  </si>
  <si>
    <t xml:space="preserve">INPUTS - all assumptions live on this sheet only (blue cells on yellow)</t>
  </si>
  <si>
    <t xml:space="preserve">EXAMPLE DATA - every value on this sheet is invented for a demo of a FICTIONAL project. Replace with the client's own data.</t>
  </si>
  <si>
    <t xml:space="preserve">Project</t>
  </si>
  <si>
    <t xml:space="preserve">Description</t>
  </si>
  <si>
    <t xml:space="preserve">5,000 MT multi-commodity cold storage with rooftop solar</t>
  </si>
  <si>
    <t xml:space="preserve">Timeline: year index</t>
  </si>
  <si>
    <t xml:space="preserve">year</t>
  </si>
  <si>
    <t xml:space="preserve">EXAMPLE DATA</t>
  </si>
  <si>
    <t xml:space="preserve">Assumption</t>
  </si>
  <si>
    <t xml:space="preserve">Unit</t>
  </si>
  <si>
    <t xml:space="preserve">Value</t>
  </si>
  <si>
    <t xml:space="preserve">Source / note</t>
  </si>
  <si>
    <t xml:space="preserve">Capital cost (Year 0)</t>
  </si>
  <si>
    <t xml:space="preserve">Land and site development</t>
  </si>
  <si>
    <t xml:space="preserve">Rs lakh</t>
  </si>
  <si>
    <t xml:space="preserve">Building and civil works</t>
  </si>
  <si>
    <t xml:space="preserve">Refrigeration plant and machinery</t>
  </si>
  <si>
    <t xml:space="preserve">Insulated panels, doors and racking</t>
  </si>
  <si>
    <t xml:space="preserve">Electricals, DG set and fire safety</t>
  </si>
  <si>
    <t xml:space="preserve">Rooftop solar plant</t>
  </si>
  <si>
    <t xml:space="preserve">Contingency (on building, plant and equipment)</t>
  </si>
  <si>
    <t xml:space="preserve">%</t>
  </si>
  <si>
    <t xml:space="preserve">Preliminary and pre-operative expenses</t>
  </si>
  <si>
    <t xml:space="preserve">Margin money / initial cash reserve</t>
  </si>
  <si>
    <t xml:space="preserve">Means of finance</t>
  </si>
  <si>
    <t xml:space="preserve">Term loan share of project cost</t>
  </si>
  <si>
    <t xml:space="preserve">Term loan interest rate (annual)</t>
  </si>
  <si>
    <t xml:space="preserve">Repayment moratorium after start of operations</t>
  </si>
  <si>
    <t xml:space="preserve">years</t>
  </si>
  <si>
    <t xml:space="preserve">Repayment period after moratorium (equal instalments)</t>
  </si>
  <si>
    <t xml:space="preserve">Installed storage capacity</t>
  </si>
  <si>
    <t xml:space="preserve">MT</t>
  </si>
  <si>
    <t xml:space="preserve">Average storage rent (all commodities, per MT per year)</t>
  </si>
  <si>
    <t xml:space="preserve">Rs per MT</t>
  </si>
  <si>
    <t xml:space="preserve">Annual rent escalation</t>
  </si>
  <si>
    <t xml:space="preserve">Ancillary income (handling, sorting) as % of rent</t>
  </si>
  <si>
    <t xml:space="preserve">Operating costs</t>
  </si>
  <si>
    <t xml:space="preserve">Grid power cost per MT stored per year (Year 1)</t>
  </si>
  <si>
    <t xml:space="preserve">Annual power tariff escalation</t>
  </si>
  <si>
    <t xml:space="preserve">Share of power cost offset by rooftop solar</t>
  </si>
  <si>
    <t xml:space="preserve">Consumables and packing as % of revenue</t>
  </si>
  <si>
    <t xml:space="preserve">Salaries and wages (Year 1)</t>
  </si>
  <si>
    <t xml:space="preserve">Annual salary escalation</t>
  </si>
  <si>
    <t xml:space="preserve">Repairs and maintenance as % of plant and equipment cost</t>
  </si>
  <si>
    <t xml:space="preserve">Insurance as % of building, plant and equipment cost</t>
  </si>
  <si>
    <t xml:space="preserve">Administration and marketing (Year 1)</t>
  </si>
  <si>
    <t xml:space="preserve">Annual admin cost escalation</t>
  </si>
  <si>
    <t xml:space="preserve">Depreciation, tax and working capital</t>
  </si>
  <si>
    <t xml:space="preserve">Building life (straight line)</t>
  </si>
  <si>
    <t xml:space="preserve">Plant and equipment life (straight line)</t>
  </si>
  <si>
    <t xml:space="preserve">Pre-operative expenses written off over</t>
  </si>
  <si>
    <t xml:space="preserve">Income tax rate (flat, losses carried forward)</t>
  </si>
  <si>
    <t xml:space="preserve">Receivable days (on revenue)</t>
  </si>
  <si>
    <t xml:space="preserve">days</t>
  </si>
  <si>
    <t xml:space="preserve">Payable days (on operating costs)</t>
  </si>
  <si>
    <t xml:space="preserve">Days in a year</t>
  </si>
  <si>
    <t xml:space="preserve">Rupees per lakh</t>
  </si>
  <si>
    <t xml:space="preserve">Rs</t>
  </si>
  <si>
    <t xml:space="preserve">Valuation and lender tests</t>
  </si>
  <si>
    <t xml:space="preserve">Discount rate for project NPV</t>
  </si>
  <si>
    <t xml:space="preserve">Cost of equity for equity NPV</t>
  </si>
  <si>
    <t xml:space="preserve">Residual value at end of Year 10 (% of net fixed assets)</t>
  </si>
  <si>
    <t xml:space="preserve">Lender minimum DSCR (covenant test)</t>
  </si>
  <si>
    <t xml:space="preserve">x</t>
  </si>
  <si>
    <t xml:space="preserve">Representative year for break-even analysis</t>
  </si>
  <si>
    <t xml:space="preserve">year no.</t>
  </si>
  <si>
    <t xml:space="preserve">Capacity utilisation, Years 1-10</t>
  </si>
  <si>
    <t xml:space="preserve">Sensitivity cases (changes applied on top of the base inputs)</t>
  </si>
  <si>
    <t xml:space="preserve">Case</t>
  </si>
  <si>
    <t xml:space="preserve">Rent / price change</t>
  </si>
  <si>
    <t xml:space="preserve">Utilisation change (points)</t>
  </si>
  <si>
    <t xml:space="preserve">Operating cost change</t>
  </si>
  <si>
    <t xml:space="preserve">Capital cost change</t>
  </si>
  <si>
    <t xml:space="preserve">Interest rate change (points)</t>
  </si>
  <si>
    <t xml:space="preserve">Base case</t>
  </si>
  <si>
    <t xml:space="preserve">Rent -10%</t>
  </si>
  <si>
    <t xml:space="preserve">Utilisation -10 points</t>
  </si>
  <si>
    <t xml:space="preserve">Operating costs +10%</t>
  </si>
  <si>
    <t xml:space="preserve">Capital cost +10%</t>
  </si>
  <si>
    <t xml:space="preserve">Interest rate +2 points</t>
  </si>
  <si>
    <t xml:space="preserve">Combined: rent -10%, costs +10%, capex +10%</t>
  </si>
  <si>
    <t xml:space="preserve">Ambravik Cold Chain (fictional) - Cost of project and means of finance</t>
  </si>
  <si>
    <t xml:space="preserve">EXAMPLE DATA - fictional project. Units Rs lakh unless stated. Formulas only; edit assumptions on the Inputs sheet.</t>
  </si>
  <si>
    <t xml:space="preserve">Line item</t>
  </si>
  <si>
    <t xml:space="preserve">Year 0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</si>
  <si>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</si>
  <si>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</si>
  <si>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</si>
  <si>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</si>
  <si>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</si>
  <si>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Year 6</t>
  </si>
  <si>
    <t xml:space="preserve">Year 7</t>
  </si>
  <si>
    <t xml:space="preserve">Year 8</t>
  </si>
  <si>
    <t xml:space="preserve">Year 9</t>
  </si>
  <si>
    <t xml:space="preserve">Year 10</t>
  </si>
  <si>
    <t xml:space="preserve">Cost of project (Year 0)</t>
  </si>
  <si>
    <t xml:space="preserve">Sub-total: building, plant and equipment</t>
  </si>
  <si>
    <t xml:space="preserve">Contingency</t>
  </si>
  <si>
    <t xml:space="preserve">Total capital cost</t>
  </si>
  <si>
    <t xml:space="preserve">Total means of finance</t>
  </si>
  <si>
    <t xml:space="preserve">Asset blocks for depreciation (contingency allocated pro rata)</t>
  </si>
  <si>
    <t xml:space="preserve">Building block</t>
  </si>
  <si>
    <t xml:space="preserve">Plant and equipment at cost (before contingency)</t>
  </si>
  <si>
    <t xml:space="preserve">Plant and equipment block</t>
  </si>
  <si>
    <t xml:space="preserve">Ambravik Cold Chain (fictional) - Revenue, operating costs, depreciation and working capital</t>
  </si>
  <si>
    <t xml:space="preserve">Revenue build-up</t>
  </si>
  <si>
    <t xml:space="preserve">Capacity utilisation</t>
  </si>
  <si>
    <t xml:space="preserve">Average quantity stored</t>
  </si>
  <si>
    <t xml:space="preserve">Storage rent per MT per year</t>
  </si>
  <si>
    <t xml:space="preserve">Storage rent income</t>
  </si>
  <si>
    <t xml:space="preserve">Ancillary income</t>
  </si>
  <si>
    <t xml:space="preserve">Total revenue</t>
  </si>
  <si>
    <t xml:space="preserve">Operating cost build-up</t>
  </si>
  <si>
    <t xml:space="preserve">Grid power (gross)</t>
  </si>
  <si>
    <t xml:space="preserve">Less: solar offset</t>
  </si>
  <si>
    <t xml:space="preserve">Consumables and packing</t>
  </si>
  <si>
    <t xml:space="preserve">Salaries and wages</t>
  </si>
  <si>
    <t xml:space="preserve">Repairs and maintenance</t>
  </si>
  <si>
    <t xml:space="preserve">Insurance</t>
  </si>
  <si>
    <t xml:space="preserve">Administration and marketing</t>
  </si>
  <si>
    <t xml:space="preserve">Total operating costs</t>
  </si>
  <si>
    <t xml:space="preserve">of which variable (power net of solar, consumables)</t>
  </si>
  <si>
    <t xml:space="preserve">of which fixed (salaries, R&amp;M, insurance, admin)</t>
  </si>
  <si>
    <t xml:space="preserve">Depreciation and fixed assets</t>
  </si>
  <si>
    <t xml:space="preserve">Depreciation: building</t>
  </si>
  <si>
    <t xml:space="preserve">Depreciation: plant and equipment</t>
  </si>
  <si>
    <t xml:space="preserve">Write-off: pre-operative expenses</t>
  </si>
  <si>
    <t xml:space="preserve">Total depreciation and amortisation</t>
  </si>
  <si>
    <t xml:space="preserve">Net fixed assets (closing)</t>
  </si>
  <si>
    <t xml:space="preserve">Working capital</t>
  </si>
  <si>
    <t xml:space="preserve">Trade receivables</t>
  </si>
  <si>
    <t xml:space="preserve">Trade payables</t>
  </si>
  <si>
    <t xml:space="preserve">Net working capital</t>
  </si>
  <si>
    <t xml:space="preserve">Ambravik Cold Chain (fictional) - Term loan schedule</t>
  </si>
  <si>
    <t xml:space="preserve">Term loan schedule</t>
  </si>
  <si>
    <t xml:space="preserve">Opening balance</t>
  </si>
  <si>
    <t xml:space="preserve">Drawdown</t>
  </si>
  <si>
    <t xml:space="preserve">Interest rate</t>
  </si>
  <si>
    <t xml:space="preserve">Interest (on opening balance)</t>
  </si>
  <si>
    <t xml:space="preserve">Principal repayment</t>
  </si>
  <si>
    <t xml:space="preserve">Closing balance</t>
  </si>
  <si>
    <t xml:space="preserve">Ambravik Cold Chain (fictional) - Projected profit and loss</t>
  </si>
  <si>
    <t xml:space="preserve">Projected profit and loss</t>
  </si>
  <si>
    <t xml:space="preserve">EBITDA margin</t>
  </si>
  <si>
    <t xml:space="preserve">Depreciation and amortisation</t>
  </si>
  <si>
    <t xml:space="preserve">EBIT</t>
  </si>
  <si>
    <t xml:space="preserve">Interest on term loan</t>
  </si>
  <si>
    <t xml:space="preserve">Profit before tax</t>
  </si>
  <si>
    <t xml:space="preserve">Tax losses brought forward</t>
  </si>
  <si>
    <t xml:space="preserve">Taxable profit</t>
  </si>
  <si>
    <t xml:space="preserve">Tax losses carried forward</t>
  </si>
  <si>
    <t xml:space="preserve">Income tax</t>
  </si>
  <si>
    <t xml:space="preserve">Profit after tax</t>
  </si>
  <si>
    <t xml:space="preserve">Ambravik Cold Chain (fictional) - Projected cash flow</t>
  </si>
  <si>
    <t xml:space="preserve">Projected cash flow</t>
  </si>
  <si>
    <t xml:space="preserve">Add: depreciation and amortisation</t>
  </si>
  <si>
    <t xml:space="preserve">Less: increase in receivables</t>
  </si>
  <si>
    <t xml:space="preserve">Add: increase in payables</t>
  </si>
  <si>
    <t xml:space="preserve">Cash flow from operations</t>
  </si>
  <si>
    <t xml:space="preserve">Capital expenditure</t>
  </si>
  <si>
    <t xml:space="preserve">Cash flow from investing</t>
  </si>
  <si>
    <t xml:space="preserve">Equity infused</t>
  </si>
  <si>
    <t xml:space="preserve">Term loan drawn</t>
  </si>
  <si>
    <t xml:space="preserve">Term loan repaid</t>
  </si>
  <si>
    <t xml:space="preserve">Cash flow from financing</t>
  </si>
  <si>
    <t xml:space="preserve">Net change in cash</t>
  </si>
  <si>
    <t xml:space="preserve">Opening cash</t>
  </si>
  <si>
    <t xml:space="preserve">Ambravik Cold Chain (fictional) - Projected balance sheet</t>
  </si>
  <si>
    <t xml:space="preserve">Projected balance sheet</t>
  </si>
  <si>
    <t xml:space="preserve">Net fixed assets</t>
  </si>
  <si>
    <t xml:space="preserve">Cash and bank</t>
  </si>
  <si>
    <t xml:space="preserve">Total assets</t>
  </si>
  <si>
    <t xml:space="preserve">Share capital</t>
  </si>
  <si>
    <t xml:space="preserve">Retained earnings</t>
  </si>
  <si>
    <t xml:space="preserve">Total equity and liabilities</t>
  </si>
  <si>
    <t xml:space="preserve">Check: assets minus liabilities (must be 0)</t>
  </si>
  <si>
    <t xml:space="preserve">Ambravik Cold Chain (fictional) - DSCR, NPV, IRR, payback and break-even</t>
  </si>
  <si>
    <t xml:space="preserve">Debt service coverage</t>
  </si>
  <si>
    <t xml:space="preserve">Cash available for debt service (PAT + D&amp;A + interest)</t>
  </si>
  <si>
    <t xml:space="preserve">Debt service (interest + principal)</t>
  </si>
  <si>
    <t xml:space="preserve">Minimum DSCR (loan tenure)</t>
  </si>
  <si>
    <t xml:space="preserve">Average DSCR (loan tenure)</t>
  </si>
  <si>
    <t xml:space="preserve">Project (unlevered) cash flows and returns</t>
  </si>
  <si>
    <t xml:space="preserve">Tax on EBIT (unlevered, no loss carry-forward)</t>
  </si>
  <si>
    <t xml:space="preserve">Increase in net working capital</t>
  </si>
  <si>
    <t xml:space="preserve">Residual value + working capital recovery (Year 10)</t>
  </si>
  <si>
    <t xml:space="preserve">Project free cash flow</t>
  </si>
  <si>
    <t xml:space="preserve">Cumulative project cash flow</t>
  </si>
  <si>
    <t xml:space="preserve">Discounted project cash flow</t>
  </si>
  <si>
    <t xml:space="preserve">Cumulative discounted cash flow</t>
  </si>
  <si>
    <t xml:space="preserve">Payback helper</t>
  </si>
  <si>
    <t xml:space="preserve">Discounted payback helper</t>
  </si>
  <si>
    <t xml:space="preserve">Project NPV at discount rate</t>
  </si>
  <si>
    <t xml:space="preserve">Benefit-cost ratio (PV inflows / PV outflows)</t>
  </si>
  <si>
    <t xml:space="preserve">Simple payback (from start of operations)</t>
  </si>
  <si>
    <t xml:space="preserve">Equity cash flows and returns</t>
  </si>
  <si>
    <t xml:space="preserve">Free cash flow to equity</t>
  </si>
  <si>
    <t xml:space="preserve">Equity NPV at cost of equity</t>
  </si>
  <si>
    <t xml:space="preserve">Break-even analysis</t>
  </si>
  <si>
    <t xml:space="preserve">Contribution (revenue - variable costs)</t>
  </si>
  <si>
    <t xml:space="preserve">Break-even utilisation (fixed costs + D&amp;A + interest)</t>
  </si>
  <si>
    <t xml:space="preserve">Cash break-even utilisation (fixed costs + debt service)</t>
  </si>
  <si>
    <t xml:space="preserve">Break-even utilisation in the representative year</t>
  </si>
  <si>
    <t xml:space="preserve">Cash break-even utilisation in the representative year</t>
  </si>
  <si>
    <t xml:space="preserve">Ambravik Cold Chain (fictional) - sensitivity tests</t>
  </si>
  <si>
    <t xml:space="preserve">Project NPV (Rs lakh)</t>
  </si>
  <si>
    <t xml:space="preserve">Payback (yrs)</t>
  </si>
  <si>
    <t xml:space="preserve">Lowest closing cash (Rs lakh)</t>
  </si>
  <si>
    <t xml:space="preserve">Balance sheet check</t>
  </si>
  <si>
    <t xml:space="preserve">Ambravik Cold Chain (fictional) - model integrity checks (all must be 0 / OK)</t>
  </si>
  <si>
    <t xml:space="preserve">Balance sheet: assets minus liabilities</t>
  </si>
  <si>
    <t xml:space="preserve">Cash tie: closing cash (cash flow) minus cash (balance sheet)</t>
  </si>
  <si>
    <t xml:space="preserve">Cash tie: closing cash minus sum of all net cash flows to date</t>
  </si>
  <si>
    <t xml:space="preserve">Loan: closing balance minus (drawn - repaid to date)</t>
  </si>
  <si>
    <t xml:space="preserve">Retained earnings minus cumulative PAT</t>
  </si>
  <si>
    <t xml:space="preserve">Sources minus uses of funds (Year 0)</t>
  </si>
  <si>
    <t xml:space="preserve">Term loan fully repaid by Year 10 (closing balance)</t>
  </si>
  <si>
    <t xml:space="preserve">Base case in sensitivity engine minus model: project NPV</t>
  </si>
  <si>
    <t xml:space="preserve">Base case in sensitivity engine minus model: project IRR</t>
  </si>
  <si>
    <t xml:space="preserve">Base case in sensitivity engine minus model: minimum DSCR</t>
  </si>
  <si>
    <t xml:space="preserve">Lowest closing cash, any year (must be &gt;= 0)</t>
  </si>
  <si>
    <t xml:space="preserve">OVERALL MODEL STATUS</t>
  </si>
  <si>
    <t xml:space="preserve">Lender DSCR covenant met in every year?</t>
  </si>
  <si>
    <t xml:space="preserve">Ambravik Cold Chain (fictional) - sensitivity engine (full model recalculated per case; do not edit)</t>
  </si>
  <si>
    <t xml:space="preserve">Cost of project (Year 0) - case: Base case</t>
  </si>
  <si>
    <t xml:space="preserve">Revenue build-up - case: Base case</t>
  </si>
  <si>
    <t xml:space="preserve">Term loan schedule - case: Base case</t>
  </si>
  <si>
    <t xml:space="preserve">Projected profit and loss - case: Base case</t>
  </si>
  <si>
    <t xml:space="preserve">Projected cash flow - case: Base case</t>
  </si>
  <si>
    <t xml:space="preserve">Projected balance sheet - case: Base case</t>
  </si>
  <si>
    <t xml:space="preserve">Debt service coverage - case: Base case</t>
  </si>
  <si>
    <t xml:space="preserve">Cost of project (Year 0) - case: Rent -10%</t>
  </si>
  <si>
    <t xml:space="preserve">Revenue build-up - case: Rent -10%</t>
  </si>
  <si>
    <t xml:space="preserve">Term loan schedule - case: Rent -10%</t>
  </si>
  <si>
    <t xml:space="preserve">Projected profit and loss - case: Rent -10%</t>
  </si>
  <si>
    <t xml:space="preserve">Projected cash flow - case: Rent -10%</t>
  </si>
  <si>
    <t xml:space="preserve">Projected balance sheet - case: Rent -10%</t>
  </si>
  <si>
    <t xml:space="preserve">Debt service coverage - case: Rent -10%</t>
  </si>
  <si>
    <t xml:space="preserve">Cost of project (Year 0) - case: Utilisation -10 points</t>
  </si>
  <si>
    <t xml:space="preserve">Revenue build-up - case: Utilisation -10 points</t>
  </si>
  <si>
    <t xml:space="preserve">Term loan schedule - case: Utilisation -10 points</t>
  </si>
  <si>
    <t xml:space="preserve">Projected profit and loss - case: Utilisation -10 points</t>
  </si>
  <si>
    <t xml:space="preserve">Projected cash flow - case: Utilisation -10 points</t>
  </si>
  <si>
    <t xml:space="preserve">Projected balance sheet - case: Utilisation -10 points</t>
  </si>
  <si>
    <t xml:space="preserve">Debt service coverage - case: Utilisation -10 points</t>
  </si>
  <si>
    <t xml:space="preserve">Cost of project (Year 0) - case: Operating costs +10%</t>
  </si>
  <si>
    <t xml:space="preserve">Revenue build-up - case: Operating costs +10%</t>
  </si>
  <si>
    <t xml:space="preserve">Term loan schedule - case: Operating costs +10%</t>
  </si>
  <si>
    <t xml:space="preserve">Projected profit and loss - case: Operating costs +10%</t>
  </si>
  <si>
    <t xml:space="preserve">Projected cash flow - case: Operating costs +10%</t>
  </si>
  <si>
    <t xml:space="preserve">Projected balance sheet - case: Operating costs +10%</t>
  </si>
  <si>
    <t xml:space="preserve">Debt service coverage - case: Operating costs +10%</t>
  </si>
  <si>
    <t xml:space="preserve">Cost of project (Year 0) - case: Capital cost +10%</t>
  </si>
  <si>
    <t xml:space="preserve">Revenue build-up - case: Capital cost +10%</t>
  </si>
  <si>
    <t xml:space="preserve">Term loan schedule - case: Capital cost +10%</t>
  </si>
  <si>
    <t xml:space="preserve">Projected profit and loss - case: Capital cost +10%</t>
  </si>
  <si>
    <t xml:space="preserve">Projected cash flow - case: Capital cost +10%</t>
  </si>
  <si>
    <t xml:space="preserve">Projected balance sheet - case: Capital cost +10%</t>
  </si>
  <si>
    <t xml:space="preserve">Debt service coverage - case: Capital cost +10%</t>
  </si>
  <si>
    <t xml:space="preserve">Cost of project (Year 0) - case: Interest rate +2 points</t>
  </si>
  <si>
    <t xml:space="preserve">Revenue build-up - case: Interest rate +2 points</t>
  </si>
  <si>
    <t xml:space="preserve">Term loan schedule - case: Interest rate +2 points</t>
  </si>
  <si>
    <t xml:space="preserve">Projected profit and loss - case: Interest rate +2 points</t>
  </si>
  <si>
    <t xml:space="preserve">Projected cash flow - case: Interest rate +2 points</t>
  </si>
  <si>
    <t xml:space="preserve">Projected balance sheet - case: Interest rate +2 points</t>
  </si>
  <si>
    <t xml:space="preserve">Debt service coverage - case: Interest rate +2 points</t>
  </si>
  <si>
    <t xml:space="preserve">Cost of project (Year 0) - case: Combined: rent -10%, costs +10%, capex +10%</t>
  </si>
  <si>
    <t xml:space="preserve">Revenue build-up - case: Combined: rent -10%, costs +10%, capex +10%</t>
  </si>
  <si>
    <t xml:space="preserve">Term loan schedule - case: Combined: rent -10%, costs +10%, capex +10%</t>
  </si>
  <si>
    <t xml:space="preserve">Projected profit and loss - case: Combined: rent -10%, costs +10%, capex +10%</t>
  </si>
  <si>
    <t xml:space="preserve">Projected cash flow - case: Combined: rent -10%, costs +10%, capex +10%</t>
  </si>
  <si>
    <t xml:space="preserve">Projected balance sheet - case: Combined: rent -10%, costs +10%, capex +10%</t>
  </si>
  <si>
    <t xml:space="preserve">Debt service coverage - case: Combined: rent -10%, costs +10%, capex +10%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</si>
</sst>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.00;[RED]\-#,##0.00;\-"/>
    <numFmt numFmtId="166" formatCode="0.00%;[RED]\-0.00%;\-"/>
    <numFmt numFmtId="167" formatCode="0.00\x;[RED]\-0.00\x;\-"/>
    <numFmt numFmtId="168" formatCode="0.0&quot; yrs&quot;"/>
    <numFmt numFmtId="169" formatCode="0"/>
    <numFmt numFmtId="170" formatCode="###,##0"/>
    <numFmt numFmtId="171" formatCode="[&gt;=10000000]&quot;Rs &quot;##\,##\,##\,##0;[&gt;=100000]&quot;Rs &quot;##\,##\,##0;&quot;Rs &quot;##,##0"/>
    <numFmt numFmtId="172" formatCode="0.00"/>
    <numFmt numFmtId="173" formatCode="@"/>
    <numFmt numFmtId="174" formatCode="0.000000;\-0.000000;\0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A68"/>
      <name val="Calibri"/>
      <family val="0"/>
      <charset val="1"/>
    </font>
    <font>
      <b val="true"/>
      <sz val="11"/>
      <color rgb="FF1D1D1F"/>
      <name val="Calibri"/>
      <family val="0"/>
      <charset val="1"/>
    </font>
    <font>
      <b val="true"/>
      <sz val="10"/>
      <color rgb="FFC0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1D1D1F"/>
      <name val="Calibri"/>
      <family val="0"/>
      <charset val="1"/>
    </font>
    <font>
      <b val="true"/>
      <sz val="10"/>
      <color rgb="FF1D1D1F"/>
      <name val="Calibri"/>
      <family val="0"/>
      <charset val="1"/>
    </font>
    <font>
      <sz val="9"/>
      <color rgb="FF1D1D1F"/>
      <name val="Calibri"/>
      <family val="0"/>
      <charset val="1"/>
    </font>
    <font>
      <b val="true"/>
      <sz val="10"/>
      <color rgb="FF1F3A68"/>
      <name val="Calibri"/>
      <family val="0"/>
      <charset val="1"/>
    </font>
    <font>
      <b val="true"/>
      <sz val="10"/>
      <color rgb="FF2E7D32"/>
      <name val="Calibri"/>
      <family val="0"/>
      <charset val="1"/>
    </font>
    <font>
      <i val="true"/>
      <sz val="9"/>
      <color rgb="FF5F5F66"/>
      <name val="Calibri"/>
      <family val="0"/>
      <charset val="1"/>
    </font>
    <font>
      <b val="true"/>
      <sz val="14"/>
      <color rgb="FF1F3A68"/>
      <name val="Calibri"/>
      <family val="0"/>
      <charset val="1"/>
    </font>
    <font>
      <sz val="10"/>
      <color rgb="FF1F4E9E"/>
      <name val="Calibri"/>
      <family val="0"/>
      <charset val="1"/>
    </font>
    <font>
      <b val="true"/>
      <sz val="10"/>
      <color rgb="FF1F4E9E"/>
      <name val="Calibri"/>
      <family val="0"/>
      <charset val="1"/>
    </font>
    <font>
      <i val="true"/>
      <sz val="10"/>
      <color rgb="FFC00000"/>
      <name val="Calibri"/>
      <family val="0"/>
      <charset val="1"/>
    </font>
    <font>
      <sz val="10"/>
      <color rgb="FF5F5F66"/>
      <name val="Calibri"/>
      <family val="0"/>
      <charset val="1"/>
    </font>
    <font>
      <i val="true"/>
      <sz val="9"/>
      <color rgb="FFC00000"/>
      <name val="Calibri"/>
      <family val="0"/>
      <charset val="1"/>
    </font>
    <font>
      <sz val="9"/>
      <color rgb="FF5F5F66"/>
      <name val="Calibri"/>
      <family val="0"/>
      <charset val="1"/>
    </font>
    <font>
      <b val="true"/>
      <sz val="12"/>
      <color rgb="FF1F3A68"/>
      <name val="Calibri"/>
      <family val="0"/>
      <charset val="1"/>
    </font>
    <font>
      <b val="true"/>
      <sz val="12"/>
      <color rgb="FF1D1D1F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A68"/>
        <bgColor rgb="FF1F4E9E"/>
      </patternFill>
    </fill>
    <fill>
      <patternFill patternType="solid">
        <fgColor rgb="FFE2F0D9"/>
        <bgColor rgb="FFE3E8F1"/>
      </patternFill>
    </fill>
    <fill>
      <patternFill patternType="solid">
        <fgColor rgb="FFFFF6D5"/>
        <bgColor rgb="FFFFFFFF"/>
      </patternFill>
    </fill>
    <fill>
      <patternFill patternType="solid">
        <fgColor rgb="FFE3E8F1"/>
        <bgColor rgb="FFE2F0D9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CCCCCC"/>
      </bottom>
      <diagonal/>
    </border>
    <border diagonalUp="false" diagonalDown="false">
      <left/>
      <right/>
      <top style="thin">
        <color rgb="FFB7B7B7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6D5"/>
      <rgbColor rgb="FFE3E8F1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5F5F66"/>
      <rgbColor rgb="FFA6A6A6"/>
      <rgbColor rgb="FF1F3A68"/>
      <rgbColor rgb="FF2E7D32"/>
      <rgbColor rgb="FF003300"/>
      <rgbColor rgb="FF333300"/>
      <rgbColor rgb="FF993300"/>
      <rgbColor rgb="FF993366"/>
      <rgbColor rgb="FF1F4E9E"/>
      <rgbColor rgb="FF1D1D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68"/>
    <pageSetUpPr fitToPage="true"/>
  </sheetPr>
  <dimension ref="A1:N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4"/>
    <col collapsed="false" customWidth="true" hidden="false" outlineLevel="0" max="3" min="3" style="0" width="3"/>
    <col collapsed="false" customWidth="true" hidden="false" outlineLevel="0" max="4" min="4" style="0" width="14"/>
    <col collapsed="false" customWidth="true" hidden="false" outlineLevel="0" max="14" min="5" style="0" width="8.5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/>
      <c r="D5" s="4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6" t="s">
        <v>11</v>
      </c>
      <c r="L5" s="6" t="s">
        <v>12</v>
      </c>
      <c r="M5" s="6" t="s">
        <v>13</v>
      </c>
      <c r="N5" s="6" t="s">
        <v>14</v>
      </c>
    </row>
    <row r="6" customFormat="false" ht="15" hidden="false" customHeight="false" outlineLevel="0" collapsed="false">
      <c r="A6" s="7" t="s">
        <v>15</v>
      </c>
      <c r="B6" s="8" t="n">
        <f aca="false">Capex_Funding!$C$16</f>
        <v>771.95</v>
      </c>
      <c r="D6" s="9" t="s">
        <v>16</v>
      </c>
      <c r="E6" s="10" t="n">
        <f aca="false">Revenue_Costs!D5</f>
        <v>0.55</v>
      </c>
      <c r="F6" s="10" t="n">
        <f aca="false">Revenue_Costs!E5</f>
        <v>0.65</v>
      </c>
      <c r="G6" s="10" t="n">
        <f aca="false">Revenue_Costs!F5</f>
        <v>0.75</v>
      </c>
      <c r="H6" s="10" t="n">
        <f aca="false">Revenue_Costs!G5</f>
        <v>0.8</v>
      </c>
      <c r="I6" s="10" t="n">
        <f aca="false">Revenue_Costs!H5</f>
        <v>0.8</v>
      </c>
      <c r="J6" s="10" t="n">
        <f aca="false">Revenue_Costs!I5</f>
        <v>0.82</v>
      </c>
      <c r="K6" s="10" t="n">
        <f aca="false">Revenue_Costs!J5</f>
        <v>0.82</v>
      </c>
      <c r="L6" s="10" t="n">
        <f aca="false">Revenue_Costs!K5</f>
        <v>0.82</v>
      </c>
      <c r="M6" s="10" t="n">
        <f aca="false">Revenue_Costs!L5</f>
        <v>0.82</v>
      </c>
      <c r="N6" s="10" t="n">
        <f aca="false">Revenue_Costs!M5</f>
        <v>0.82</v>
      </c>
    </row>
    <row r="7" customFormat="false" ht="15" hidden="false" customHeight="false" outlineLevel="0" collapsed="false">
      <c r="A7" s="7" t="s">
        <v>17</v>
      </c>
      <c r="B7" s="8" t="n">
        <f aca="false">Capex_Funding!$C$19</f>
        <v>463.17</v>
      </c>
      <c r="D7" s="9" t="s">
        <v>18</v>
      </c>
      <c r="E7" s="11" t="n">
        <f aca="false">Revenue_Costs!D10</f>
        <v>181.5</v>
      </c>
      <c r="F7" s="11" t="n">
        <f aca="false">Revenue_Costs!E10</f>
        <v>223.08</v>
      </c>
      <c r="G7" s="11" t="n">
        <f aca="false">Revenue_Costs!F10</f>
        <v>267.696</v>
      </c>
      <c r="H7" s="11" t="n">
        <f aca="false">Revenue_Costs!G10</f>
        <v>296.964096</v>
      </c>
      <c r="I7" s="11" t="n">
        <f aca="false">Revenue_Costs!H10</f>
        <v>308.84265984</v>
      </c>
      <c r="J7" s="11" t="n">
        <f aca="false">Revenue_Costs!I10</f>
        <v>329.22627538944</v>
      </c>
      <c r="K7" s="11" t="n">
        <f aca="false">Revenue_Costs!J10</f>
        <v>342.395326405018</v>
      </c>
      <c r="L7" s="11" t="n">
        <f aca="false">Revenue_Costs!K10</f>
        <v>356.091139461218</v>
      </c>
      <c r="M7" s="11" t="n">
        <f aca="false">Revenue_Costs!L10</f>
        <v>370.334785039667</v>
      </c>
      <c r="N7" s="11" t="n">
        <f aca="false">Revenue_Costs!M10</f>
        <v>385.148176441254</v>
      </c>
    </row>
    <row r="8" customFormat="false" ht="15" hidden="false" customHeight="false" outlineLevel="0" collapsed="false">
      <c r="A8" s="7" t="s">
        <v>19</v>
      </c>
      <c r="B8" s="8" t="n">
        <f aca="false">Capex_Funding!$C$20</f>
        <v>308.78</v>
      </c>
      <c r="D8" s="9" t="s">
        <v>20</v>
      </c>
      <c r="E8" s="11" t="n">
        <f aca="false">Revenue_Costs!D23</f>
        <v>104.4297</v>
      </c>
      <c r="F8" s="11" t="n">
        <f aca="false">Revenue_Costs!E23</f>
        <v>137.231425</v>
      </c>
      <c r="G8" s="11" t="n">
        <f aca="false">Revenue_Costs!F23</f>
        <v>172.37783875</v>
      </c>
      <c r="H8" s="11" t="n">
        <f aca="false">Revenue_Costs!G23</f>
        <v>194.24964112</v>
      </c>
      <c r="I8" s="11" t="n">
        <f aca="false">Revenue_Costs!H23</f>
        <v>201.1605863248</v>
      </c>
      <c r="J8" s="11" t="n">
        <f aca="false">Revenue_Costs!I23</f>
        <v>215.073777757369</v>
      </c>
      <c r="K8" s="11" t="n">
        <f aca="false">Revenue_Costs!J23</f>
        <v>222.665879589128</v>
      </c>
      <c r="L8" s="11" t="n">
        <f aca="false">Revenue_Costs!K23</f>
        <v>230.484152786534</v>
      </c>
      <c r="M8" s="11" t="n">
        <f aca="false">Revenue_Costs!L23</f>
        <v>238.53325469021</v>
      </c>
      <c r="N8" s="11" t="n">
        <f aca="false">Revenue_Costs!M23</f>
        <v>246.817778625986</v>
      </c>
    </row>
    <row r="9" customFormat="false" ht="15" hidden="false" customHeight="false" outlineLevel="0" collapsed="false">
      <c r="A9" s="7" t="s">
        <v>21</v>
      </c>
      <c r="B9" s="12" t="n">
        <f aca="false">Capex_Funding!$C$22</f>
        <v>1.5</v>
      </c>
      <c r="D9" s="9" t="s">
        <v>22</v>
      </c>
      <c r="E9" s="11" t="n">
        <f aca="false">PnL!D17</f>
        <v>9.964998855</v>
      </c>
      <c r="F9" s="11" t="n">
        <f aca="false">PnL!E17</f>
        <v>34.5105296725</v>
      </c>
      <c r="G9" s="11" t="n">
        <f aca="false">PnL!F17</f>
        <v>60.810591081625</v>
      </c>
      <c r="H9" s="11" t="n">
        <f aca="false">PnL!G17</f>
        <v>82.376112460096</v>
      </c>
      <c r="I9" s="11" t="n">
        <f aca="false">PnL!H17</f>
        <v>92.7464244218479</v>
      </c>
      <c r="J9" s="11" t="n">
        <f aca="false">PnL!I17</f>
        <v>111.649037235839</v>
      </c>
      <c r="K9" s="11" t="n">
        <f aca="false">PnL!J17</f>
        <v>122.529058701545</v>
      </c>
      <c r="L9" s="11" t="n">
        <f aca="false">PnL!K17</f>
        <v>133.578324200163</v>
      </c>
      <c r="M9" s="11" t="n">
        <f aca="false">PnL!L17</f>
        <v>144.800318819684</v>
      </c>
      <c r="N9" s="11" t="n">
        <f aca="false">PnL!M17</f>
        <v>156.198479745825</v>
      </c>
    </row>
    <row r="10" customFormat="false" ht="15" hidden="false" customHeight="false" outlineLevel="0" collapsed="false">
      <c r="A10" s="7" t="s">
        <v>23</v>
      </c>
      <c r="B10" s="13" t="n">
        <f aca="false">Returns!$C$22</f>
        <v>0.14959511384565</v>
      </c>
      <c r="D10" s="9" t="s">
        <v>24</v>
      </c>
      <c r="E10" s="14" t="n">
        <f aca="false">Returns!D7</f>
        <v>2.07838629352382</v>
      </c>
      <c r="F10" s="14" t="n">
        <f aca="false">Returns!E7</f>
        <v>2.58309722075716</v>
      </c>
      <c r="G10" s="14" t="n">
        <f aca="false">Returns!F7</f>
        <v>1.32337500465421</v>
      </c>
      <c r="H10" s="14" t="n">
        <f aca="false">Returns!G7</f>
        <v>1.54415985441044</v>
      </c>
      <c r="I10" s="14" t="n">
        <f aca="false">Returns!H7</f>
        <v>1.68439973136364</v>
      </c>
      <c r="J10" s="14" t="n">
        <f aca="false">Returns!I7</f>
        <v>1.88935991416603</v>
      </c>
      <c r="K10" s="14" t="n">
        <f aca="false">Returns!J7</f>
        <v>2.08541708632109</v>
      </c>
      <c r="L10" s="14" t="n">
        <f aca="false">Returns!K7</f>
        <v>2.31761461555919</v>
      </c>
      <c r="M10" s="14" t="n">
        <f aca="false">Returns!L7</f>
        <v>2.59630262265595</v>
      </c>
      <c r="N10" s="14" t="str">
        <f aca="false">Returns!M7</f>
        <v/>
      </c>
    </row>
    <row r="11" customFormat="false" ht="15" hidden="false" customHeight="false" outlineLevel="0" collapsed="false">
      <c r="A11" s="7" t="s">
        <v>25</v>
      </c>
      <c r="B11" s="8" t="n">
        <f aca="false">Returns!$C$21</f>
        <v>163.083566100472</v>
      </c>
      <c r="D11" s="9" t="s">
        <v>26</v>
      </c>
      <c r="E11" s="11" t="n">
        <f aca="false">Loan!D10</f>
        <v>463.17</v>
      </c>
      <c r="F11" s="11" t="n">
        <f aca="false">Loan!E10</f>
        <v>463.17</v>
      </c>
      <c r="G11" s="11" t="n">
        <f aca="false">Loan!F10</f>
        <v>397.002857142857</v>
      </c>
      <c r="H11" s="11" t="n">
        <f aca="false">Loan!G10</f>
        <v>330.835714285714</v>
      </c>
      <c r="I11" s="11" t="n">
        <f aca="false">Loan!H10</f>
        <v>264.668571428571</v>
      </c>
      <c r="J11" s="11" t="n">
        <f aca="false">Loan!I10</f>
        <v>198.501428571429</v>
      </c>
      <c r="K11" s="11" t="n">
        <f aca="false">Loan!J10</f>
        <v>132.334285714286</v>
      </c>
      <c r="L11" s="11" t="n">
        <f aca="false">Loan!K10</f>
        <v>66.1671428571429</v>
      </c>
      <c r="M11" s="11" t="n">
        <f aca="false">Loan!L10</f>
        <v>0</v>
      </c>
      <c r="N11" s="11" t="n">
        <f aca="false">Loan!M10</f>
        <v>0</v>
      </c>
    </row>
    <row r="12" customFormat="false" ht="15" hidden="false" customHeight="false" outlineLevel="0" collapsed="false">
      <c r="A12" s="7" t="s">
        <v>27</v>
      </c>
      <c r="B12" s="13" t="n">
        <f aca="false">Returns!$C$30</f>
        <v>0.208768318462049</v>
      </c>
      <c r="D12" s="9" t="s">
        <v>28</v>
      </c>
      <c r="E12" s="11" t="n">
        <f aca="false">CashFlow!D18</f>
        <v>54.4028317317123</v>
      </c>
      <c r="F12" s="11" t="n">
        <f aca="false">CashFlow!E18</f>
        <v>126.988562089144</v>
      </c>
      <c r="G12" s="11" t="n">
        <f aca="false">CashFlow!F18</f>
        <v>159.389729731434</v>
      </c>
      <c r="H12" s="11" t="n">
        <f aca="false">CashFlow!G18</f>
        <v>215.078218482059</v>
      </c>
      <c r="I12" s="11" t="n">
        <f aca="false">CashFlow!H18</f>
        <v>283.08131699541</v>
      </c>
      <c r="J12" s="11" t="n">
        <f aca="false">CashFlow!I18</f>
        <v>364.661978562549</v>
      </c>
      <c r="K12" s="11" t="n">
        <f aca="false">CashFlow!J18</f>
        <v>457.938692159864</v>
      </c>
      <c r="L12" s="11" t="n">
        <f aca="false">CashFlow!K18</f>
        <v>562.224434073391</v>
      </c>
      <c r="M12" s="11" t="n">
        <f aca="false">CashFlow!L18</f>
        <v>677.690684718708</v>
      </c>
      <c r="N12" s="11" t="n">
        <f aca="false">CashFlow!M18</f>
        <v>870.679475179335</v>
      </c>
    </row>
    <row r="13" customFormat="false" ht="15" hidden="false" customHeight="false" outlineLevel="0" collapsed="false">
      <c r="A13" s="7" t="s">
        <v>29</v>
      </c>
      <c r="B13" s="8" t="n">
        <f aca="false">Returns!$C$29</f>
        <v>129.689104301473</v>
      </c>
    </row>
    <row r="14" customFormat="false" ht="15" hidden="false" customHeight="false" outlineLevel="0" collapsed="false">
      <c r="A14" s="7" t="s">
        <v>30</v>
      </c>
      <c r="B14" s="12" t="n">
        <f aca="false">Returns!$C$23</f>
        <v>1.21630554559383</v>
      </c>
      <c r="D14" s="15" t="s">
        <v>31</v>
      </c>
    </row>
    <row r="15" customFormat="false" ht="15" hidden="false" customHeight="false" outlineLevel="0" collapsed="false">
      <c r="A15" s="7" t="s">
        <v>32</v>
      </c>
      <c r="B15" s="12" t="n">
        <f aca="false">Returns!$C$8</f>
        <v>1.32337500465421</v>
      </c>
      <c r="D15" s="16" t="str">
        <f aca="false">Inputs!$A$60</f>
        <v>Base case</v>
      </c>
      <c r="I15" s="10" t="n">
        <f aca="false">Sens_Calc!$C$125</f>
        <v>0.14959511384565</v>
      </c>
      <c r="J15" s="14" t="n">
        <f aca="false">Sens_Calc!$C$111</f>
        <v>1.32337500465421</v>
      </c>
    </row>
    <row r="16" customFormat="false" ht="15" hidden="false" customHeight="false" outlineLevel="0" collapsed="false">
      <c r="A16" s="7" t="s">
        <v>33</v>
      </c>
      <c r="B16" s="12" t="n">
        <f aca="false">Returns!$C$9</f>
        <v>2.01134581593461</v>
      </c>
      <c r="D16" s="16" t="str">
        <f aca="false">Inputs!$A$61</f>
        <v>Rent -10%</v>
      </c>
      <c r="I16" s="10" t="n">
        <f aca="false">Sens_Calc!$C$264</f>
        <v>0.120504834427527</v>
      </c>
      <c r="J16" s="14" t="n">
        <f aca="false">Sens_Calc!$C$250</f>
        <v>1.15411766895229</v>
      </c>
    </row>
    <row r="17" customFormat="false" ht="15" hidden="false" customHeight="false" outlineLevel="0" collapsed="false">
      <c r="A17" s="7" t="s">
        <v>34</v>
      </c>
      <c r="B17" s="17" t="n">
        <f aca="false">Returns!$C$24</f>
        <v>5.7357401129088</v>
      </c>
      <c r="D17" s="16" t="str">
        <f aca="false">Inputs!$A$62</f>
        <v>Utilisation -10 points</v>
      </c>
      <c r="I17" s="10" t="n">
        <f aca="false">Sens_Calc!$C$403</f>
        <v>0.115565008063264</v>
      </c>
      <c r="J17" s="14" t="n">
        <f aca="false">Sens_Calc!$C$389</f>
        <v>1.12568965566825</v>
      </c>
    </row>
    <row r="18" customFormat="false" ht="15" hidden="false" customHeight="false" outlineLevel="0" collapsed="false">
      <c r="A18" s="7" t="s">
        <v>35</v>
      </c>
      <c r="B18" s="17" t="n">
        <f aca="false">Returns!$C$25</f>
        <v>8.71847023823838</v>
      </c>
      <c r="D18" s="16" t="str">
        <f aca="false">Inputs!$A$63</f>
        <v>Operating costs +10%</v>
      </c>
      <c r="I18" s="10" t="n">
        <f aca="false">Sens_Calc!$C$542</f>
        <v>0.13884122434004</v>
      </c>
      <c r="J18" s="14" t="n">
        <f aca="false">Sens_Calc!$C$528</f>
        <v>1.26124383348582</v>
      </c>
    </row>
    <row r="19" customFormat="false" ht="15" hidden="false" customHeight="false" outlineLevel="0" collapsed="false">
      <c r="A19" s="7" t="s">
        <v>36</v>
      </c>
      <c r="B19" s="13" t="n">
        <f aca="false">Returns!$C$36</f>
        <v>0.450503125826476</v>
      </c>
      <c r="D19" s="16" t="str">
        <f aca="false">Inputs!$A$64</f>
        <v>Capital cost +10%</v>
      </c>
      <c r="I19" s="10" t="n">
        <f aca="false">Sens_Calc!$C$681</f>
        <v>0.131604272620971</v>
      </c>
      <c r="J19" s="14" t="n">
        <f aca="false">Sens_Calc!$C$667</f>
        <v>1.21813152669445</v>
      </c>
    </row>
    <row r="20" customFormat="false" ht="15" hidden="false" customHeight="false" outlineLevel="0" collapsed="false">
      <c r="A20" s="7" t="s">
        <v>37</v>
      </c>
      <c r="B20" s="13" t="n">
        <f aca="false">Returns!$C$37</f>
        <v>0.525705305377598</v>
      </c>
      <c r="D20" s="16" t="str">
        <f aca="false">Inputs!$A$65</f>
        <v>Interest rate +2 points</v>
      </c>
      <c r="I20" s="10" t="n">
        <f aca="false">Sens_Calc!$C$820</f>
        <v>0.14959511384565</v>
      </c>
      <c r="J20" s="14" t="n">
        <f aca="false">Sens_Calc!$C$806</f>
        <v>1.2433566043067</v>
      </c>
    </row>
    <row r="21" customFormat="false" ht="15" hidden="false" customHeight="false" outlineLevel="0" collapsed="false">
      <c r="A21" s="9" t="s">
        <v>38</v>
      </c>
      <c r="B21" s="18" t="str">
        <f aca="false">Checks!$C$16</f>
        <v>ALL CHECKS OK</v>
      </c>
      <c r="D21" s="16" t="str">
        <f aca="false">Inputs!$A$66</f>
        <v>Combined: rent -10%, costs +10%, capex +10%</v>
      </c>
      <c r="I21" s="10" t="n">
        <f aca="false">Sens_Calc!$C$959</f>
        <v>0.0933783970135596</v>
      </c>
      <c r="J21" s="14" t="n">
        <f aca="false">Sens_Calc!$C$945</f>
        <v>1.03922014987249</v>
      </c>
    </row>
    <row r="22" customFormat="false" ht="15" hidden="false" customHeight="false" outlineLevel="0" collapsed="false">
      <c r="A22" s="9" t="s">
        <v>39</v>
      </c>
      <c r="B22" s="9" t="str">
        <f aca="false">Checks!$C$17</f>
        <v>YES</v>
      </c>
    </row>
    <row r="23" customFormat="false" ht="15" hidden="false" customHeight="false" outlineLevel="0" collapsed="false">
      <c r="D23" s="19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N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1"/>
    <col collapsed="false" customWidth="true" hidden="false" outlineLevel="0" max="4" min="3" style="0" width="16"/>
    <col collapsed="false" customWidth="true" hidden="false" outlineLevel="0" max="13" min="5" style="0" width="11"/>
  </cols>
  <sheetData>
    <row r="1" customFormat="false" ht="17.35" hidden="false" customHeight="false" outlineLevel="0" collapsed="false">
      <c r="A1" s="20" t="s">
        <v>41</v>
      </c>
    </row>
    <row r="2" customFormat="false" ht="15" hidden="false" customHeight="false" outlineLevel="0" collapsed="false">
      <c r="A2" s="3" t="s">
        <v>42</v>
      </c>
    </row>
    <row r="3" customFormat="false" ht="15" hidden="false" customHeight="false" outlineLevel="0" collapsed="false">
      <c r="A3" s="9" t="s">
        <v>43</v>
      </c>
      <c r="C3" s="21" t="s">
        <v>0</v>
      </c>
    </row>
    <row r="4" customFormat="false" ht="15" hidden="false" customHeight="false" outlineLevel="0" collapsed="false">
      <c r="A4" s="9" t="s">
        <v>44</v>
      </c>
      <c r="C4" s="21" t="s">
        <v>45</v>
      </c>
    </row>
    <row r="6" customFormat="false" ht="15" hidden="false" customHeight="false" outlineLevel="0" collapsed="false">
      <c r="A6" s="9" t="s">
        <v>46</v>
      </c>
      <c r="B6" s="0" t="s">
        <v>47</v>
      </c>
      <c r="C6" s="22" t="n">
        <v>0</v>
      </c>
      <c r="D6" s="22" t="n">
        <v>1</v>
      </c>
      <c r="E6" s="22" t="n">
        <v>2</v>
      </c>
      <c r="F6" s="22" t="n">
        <v>3</v>
      </c>
      <c r="G6" s="22" t="n">
        <v>4</v>
      </c>
      <c r="H6" s="22" t="n">
        <v>5</v>
      </c>
      <c r="I6" s="22" t="n">
        <v>6</v>
      </c>
      <c r="J6" s="22" t="n">
        <v>7</v>
      </c>
      <c r="K6" s="22" t="n">
        <v>8</v>
      </c>
      <c r="L6" s="22" t="n">
        <v>9</v>
      </c>
      <c r="M6" s="22" t="n">
        <v>10</v>
      </c>
      <c r="N6" s="23" t="s">
        <v>48</v>
      </c>
    </row>
    <row r="8" customFormat="false" ht="15" hidden="false" customHeight="false" outlineLevel="0" collapsed="false">
      <c r="A8" s="4" t="s">
        <v>49</v>
      </c>
      <c r="B8" s="4" t="s">
        <v>50</v>
      </c>
      <c r="C8" s="4" t="s">
        <v>51</v>
      </c>
      <c r="D8" s="4" t="s">
        <v>52</v>
      </c>
    </row>
    <row r="9" customFormat="false" ht="15" hidden="false" customHeight="false" outlineLevel="0" collapsed="false">
      <c r="A9" s="24" t="s">
        <v>53</v>
      </c>
      <c r="B9" s="25"/>
      <c r="C9" s="25"/>
      <c r="D9" s="25"/>
    </row>
    <row r="10" customFormat="false" ht="15" hidden="false" customHeight="false" outlineLevel="0" collapsed="false">
      <c r="A10" s="26" t="s">
        <v>54</v>
      </c>
      <c r="B10" s="27" t="s">
        <v>55</v>
      </c>
      <c r="C10" s="28" t="n">
        <v>40</v>
      </c>
      <c r="D10" s="23" t="s">
        <v>48</v>
      </c>
    </row>
    <row r="11" customFormat="false" ht="15" hidden="false" customHeight="false" outlineLevel="0" collapsed="false">
      <c r="A11" s="26" t="s">
        <v>56</v>
      </c>
      <c r="B11" s="27" t="s">
        <v>55</v>
      </c>
      <c r="C11" s="28" t="n">
        <v>230</v>
      </c>
      <c r="D11" s="23" t="s">
        <v>48</v>
      </c>
    </row>
    <row r="12" customFormat="false" ht="15" hidden="false" customHeight="false" outlineLevel="0" collapsed="false">
      <c r="A12" s="26" t="s">
        <v>57</v>
      </c>
      <c r="B12" s="27" t="s">
        <v>55</v>
      </c>
      <c r="C12" s="28" t="n">
        <v>250</v>
      </c>
      <c r="D12" s="23" t="s">
        <v>48</v>
      </c>
    </row>
    <row r="13" customFormat="false" ht="15" hidden="false" customHeight="false" outlineLevel="0" collapsed="false">
      <c r="A13" s="26" t="s">
        <v>58</v>
      </c>
      <c r="B13" s="27" t="s">
        <v>55</v>
      </c>
      <c r="C13" s="28" t="n">
        <v>95</v>
      </c>
      <c r="D13" s="23" t="s">
        <v>48</v>
      </c>
    </row>
    <row r="14" customFormat="false" ht="15" hidden="false" customHeight="false" outlineLevel="0" collapsed="false">
      <c r="A14" s="26" t="s">
        <v>59</v>
      </c>
      <c r="B14" s="27" t="s">
        <v>55</v>
      </c>
      <c r="C14" s="28" t="n">
        <v>48</v>
      </c>
      <c r="D14" s="23" t="s">
        <v>48</v>
      </c>
    </row>
    <row r="15" customFormat="false" ht="15" hidden="false" customHeight="false" outlineLevel="0" collapsed="false">
      <c r="A15" s="26" t="s">
        <v>60</v>
      </c>
      <c r="B15" s="27" t="s">
        <v>55</v>
      </c>
      <c r="C15" s="28" t="n">
        <v>36</v>
      </c>
      <c r="D15" s="23" t="s">
        <v>48</v>
      </c>
    </row>
    <row r="16" customFormat="false" ht="15" hidden="false" customHeight="false" outlineLevel="0" collapsed="false">
      <c r="A16" s="26" t="s">
        <v>61</v>
      </c>
      <c r="B16" s="27" t="s">
        <v>62</v>
      </c>
      <c r="C16" s="29" t="n">
        <v>0.05</v>
      </c>
      <c r="D16" s="23" t="s">
        <v>48</v>
      </c>
    </row>
    <row r="17" customFormat="false" ht="15" hidden="false" customHeight="false" outlineLevel="0" collapsed="false">
      <c r="A17" s="26" t="s">
        <v>63</v>
      </c>
      <c r="B17" s="27" t="s">
        <v>55</v>
      </c>
      <c r="C17" s="28" t="n">
        <v>22</v>
      </c>
      <c r="D17" s="23" t="s">
        <v>48</v>
      </c>
    </row>
    <row r="18" customFormat="false" ht="15" hidden="false" customHeight="false" outlineLevel="0" collapsed="false">
      <c r="A18" s="26" t="s">
        <v>64</v>
      </c>
      <c r="B18" s="27" t="s">
        <v>55</v>
      </c>
      <c r="C18" s="28" t="n">
        <v>18</v>
      </c>
      <c r="D18" s="23" t="s">
        <v>48</v>
      </c>
    </row>
    <row r="19" customFormat="false" ht="15" hidden="false" customHeight="false" outlineLevel="0" collapsed="false">
      <c r="A19" s="24" t="s">
        <v>65</v>
      </c>
      <c r="B19" s="25"/>
      <c r="C19" s="25"/>
      <c r="D19" s="25"/>
    </row>
    <row r="20" customFormat="false" ht="15" hidden="false" customHeight="false" outlineLevel="0" collapsed="false">
      <c r="A20" s="26" t="s">
        <v>66</v>
      </c>
      <c r="B20" s="27" t="s">
        <v>62</v>
      </c>
      <c r="C20" s="29" t="n">
        <v>0.6</v>
      </c>
      <c r="D20" s="23" t="s">
        <v>48</v>
      </c>
    </row>
    <row r="21" customFormat="false" ht="15" hidden="false" customHeight="false" outlineLevel="0" collapsed="false">
      <c r="A21" s="26" t="s">
        <v>67</v>
      </c>
      <c r="B21" s="27" t="s">
        <v>62</v>
      </c>
      <c r="C21" s="29" t="n">
        <v>0.105</v>
      </c>
      <c r="D21" s="23" t="s">
        <v>48</v>
      </c>
    </row>
    <row r="22" customFormat="false" ht="15" hidden="false" customHeight="false" outlineLevel="0" collapsed="false">
      <c r="A22" s="26" t="s">
        <v>68</v>
      </c>
      <c r="B22" s="27" t="s">
        <v>69</v>
      </c>
      <c r="C22" s="30" t="n">
        <v>2</v>
      </c>
      <c r="D22" s="23" t="s">
        <v>48</v>
      </c>
    </row>
    <row r="23" customFormat="false" ht="15" hidden="false" customHeight="false" outlineLevel="0" collapsed="false">
      <c r="A23" s="26" t="s">
        <v>70</v>
      </c>
      <c r="B23" s="27" t="s">
        <v>69</v>
      </c>
      <c r="C23" s="30" t="n">
        <v>7</v>
      </c>
      <c r="D23" s="23" t="s">
        <v>48</v>
      </c>
    </row>
    <row r="24" customFormat="false" ht="15" hidden="false" customHeight="false" outlineLevel="0" collapsed="false">
      <c r="A24" s="24" t="s">
        <v>18</v>
      </c>
      <c r="B24" s="25"/>
      <c r="C24" s="25"/>
      <c r="D24" s="25"/>
    </row>
    <row r="25" customFormat="false" ht="15" hidden="false" customHeight="false" outlineLevel="0" collapsed="false">
      <c r="A25" s="26" t="s">
        <v>71</v>
      </c>
      <c r="B25" s="27" t="s">
        <v>72</v>
      </c>
      <c r="C25" s="31" t="n">
        <v>5000</v>
      </c>
      <c r="D25" s="23" t="s">
        <v>48</v>
      </c>
    </row>
    <row r="26" customFormat="false" ht="15" hidden="false" customHeight="false" outlineLevel="0" collapsed="false">
      <c r="A26" s="26" t="s">
        <v>73</v>
      </c>
      <c r="B26" s="27" t="s">
        <v>74</v>
      </c>
      <c r="C26" s="32" t="n">
        <v>6000</v>
      </c>
      <c r="D26" s="23" t="s">
        <v>48</v>
      </c>
    </row>
    <row r="27" customFormat="false" ht="15" hidden="false" customHeight="false" outlineLevel="0" collapsed="false">
      <c r="A27" s="26" t="s">
        <v>75</v>
      </c>
      <c r="B27" s="27" t="s">
        <v>62</v>
      </c>
      <c r="C27" s="29" t="n">
        <v>0.04</v>
      </c>
      <c r="D27" s="23" t="s">
        <v>48</v>
      </c>
    </row>
    <row r="28" customFormat="false" ht="15" hidden="false" customHeight="false" outlineLevel="0" collapsed="false">
      <c r="A28" s="26" t="s">
        <v>76</v>
      </c>
      <c r="B28" s="27" t="s">
        <v>62</v>
      </c>
      <c r="C28" s="29" t="n">
        <v>0.1</v>
      </c>
      <c r="D28" s="23" t="s">
        <v>48</v>
      </c>
    </row>
    <row r="29" customFormat="false" ht="15" hidden="false" customHeight="false" outlineLevel="0" collapsed="false">
      <c r="A29" s="24" t="s">
        <v>77</v>
      </c>
      <c r="B29" s="25"/>
      <c r="C29" s="25"/>
      <c r="D29" s="25"/>
    </row>
    <row r="30" customFormat="false" ht="15" hidden="false" customHeight="false" outlineLevel="0" collapsed="false">
      <c r="A30" s="26" t="s">
        <v>78</v>
      </c>
      <c r="B30" s="27" t="s">
        <v>74</v>
      </c>
      <c r="C30" s="32" t="n">
        <v>950</v>
      </c>
      <c r="D30" s="23" t="s">
        <v>48</v>
      </c>
    </row>
    <row r="31" customFormat="false" ht="15" hidden="false" customHeight="false" outlineLevel="0" collapsed="false">
      <c r="A31" s="26" t="s">
        <v>79</v>
      </c>
      <c r="B31" s="27" t="s">
        <v>62</v>
      </c>
      <c r="C31" s="29" t="n">
        <v>0.05</v>
      </c>
      <c r="D31" s="23" t="s">
        <v>48</v>
      </c>
    </row>
    <row r="32" customFormat="false" ht="15" hidden="false" customHeight="false" outlineLevel="0" collapsed="false">
      <c r="A32" s="26" t="s">
        <v>80</v>
      </c>
      <c r="B32" s="27" t="s">
        <v>62</v>
      </c>
      <c r="C32" s="29" t="n">
        <v>0.18</v>
      </c>
      <c r="D32" s="23" t="s">
        <v>48</v>
      </c>
    </row>
    <row r="33" customFormat="false" ht="15" hidden="false" customHeight="false" outlineLevel="0" collapsed="false">
      <c r="A33" s="26" t="s">
        <v>81</v>
      </c>
      <c r="B33" s="27" t="s">
        <v>62</v>
      </c>
      <c r="C33" s="29" t="n">
        <v>0.03</v>
      </c>
      <c r="D33" s="23" t="s">
        <v>48</v>
      </c>
    </row>
    <row r="34" customFormat="false" ht="15" hidden="false" customHeight="false" outlineLevel="0" collapsed="false">
      <c r="A34" s="26" t="s">
        <v>82</v>
      </c>
      <c r="B34" s="27" t="s">
        <v>55</v>
      </c>
      <c r="C34" s="28" t="n">
        <v>32</v>
      </c>
      <c r="D34" s="23" t="s">
        <v>48</v>
      </c>
    </row>
    <row r="35" customFormat="false" ht="15" hidden="false" customHeight="false" outlineLevel="0" collapsed="false">
      <c r="A35" s="26" t="s">
        <v>83</v>
      </c>
      <c r="B35" s="27" t="s">
        <v>62</v>
      </c>
      <c r="C35" s="29" t="n">
        <v>0.06</v>
      </c>
      <c r="D35" s="23" t="s">
        <v>48</v>
      </c>
    </row>
    <row r="36" customFormat="false" ht="15" hidden="false" customHeight="false" outlineLevel="0" collapsed="false">
      <c r="A36" s="26" t="s">
        <v>84</v>
      </c>
      <c r="B36" s="27" t="s">
        <v>62</v>
      </c>
      <c r="C36" s="29" t="n">
        <v>0.015</v>
      </c>
      <c r="D36" s="23" t="s">
        <v>48</v>
      </c>
    </row>
    <row r="37" customFormat="false" ht="15" hidden="false" customHeight="false" outlineLevel="0" collapsed="false">
      <c r="A37" s="26" t="s">
        <v>85</v>
      </c>
      <c r="B37" s="27" t="s">
        <v>62</v>
      </c>
      <c r="C37" s="29" t="n">
        <v>0.004</v>
      </c>
      <c r="D37" s="23" t="s">
        <v>48</v>
      </c>
    </row>
    <row r="38" customFormat="false" ht="15" hidden="false" customHeight="false" outlineLevel="0" collapsed="false">
      <c r="A38" s="26" t="s">
        <v>86</v>
      </c>
      <c r="B38" s="27" t="s">
        <v>55</v>
      </c>
      <c r="C38" s="28" t="n">
        <v>9</v>
      </c>
      <c r="D38" s="23" t="s">
        <v>48</v>
      </c>
    </row>
    <row r="39" customFormat="false" ht="15" hidden="false" customHeight="false" outlineLevel="0" collapsed="false">
      <c r="A39" s="26" t="s">
        <v>87</v>
      </c>
      <c r="B39" s="27" t="s">
        <v>62</v>
      </c>
      <c r="C39" s="29" t="n">
        <v>0.05</v>
      </c>
      <c r="D39" s="23" t="s">
        <v>48</v>
      </c>
    </row>
    <row r="40" customFormat="false" ht="15" hidden="false" customHeight="false" outlineLevel="0" collapsed="false">
      <c r="A40" s="24" t="s">
        <v>88</v>
      </c>
      <c r="B40" s="25"/>
      <c r="C40" s="25"/>
      <c r="D40" s="25"/>
    </row>
    <row r="41" customFormat="false" ht="15" hidden="false" customHeight="false" outlineLevel="0" collapsed="false">
      <c r="A41" s="26" t="s">
        <v>89</v>
      </c>
      <c r="B41" s="27" t="s">
        <v>69</v>
      </c>
      <c r="C41" s="30" t="n">
        <v>30</v>
      </c>
      <c r="D41" s="23" t="s">
        <v>48</v>
      </c>
    </row>
    <row r="42" customFormat="false" ht="15" hidden="false" customHeight="false" outlineLevel="0" collapsed="false">
      <c r="A42" s="26" t="s">
        <v>90</v>
      </c>
      <c r="B42" s="27" t="s">
        <v>69</v>
      </c>
      <c r="C42" s="30" t="n">
        <v>15</v>
      </c>
      <c r="D42" s="23" t="s">
        <v>48</v>
      </c>
    </row>
    <row r="43" customFormat="false" ht="15" hidden="false" customHeight="false" outlineLevel="0" collapsed="false">
      <c r="A43" s="26" t="s">
        <v>91</v>
      </c>
      <c r="B43" s="27" t="s">
        <v>69</v>
      </c>
      <c r="C43" s="30" t="n">
        <v>5</v>
      </c>
      <c r="D43" s="23" t="s">
        <v>48</v>
      </c>
    </row>
    <row r="44" customFormat="false" ht="15" hidden="false" customHeight="false" outlineLevel="0" collapsed="false">
      <c r="A44" s="26" t="s">
        <v>92</v>
      </c>
      <c r="B44" s="27" t="s">
        <v>62</v>
      </c>
      <c r="C44" s="29" t="n">
        <v>0.2517</v>
      </c>
      <c r="D44" s="23" t="s">
        <v>48</v>
      </c>
    </row>
    <row r="45" customFormat="false" ht="15" hidden="false" customHeight="false" outlineLevel="0" collapsed="false">
      <c r="A45" s="26" t="s">
        <v>93</v>
      </c>
      <c r="B45" s="27" t="s">
        <v>94</v>
      </c>
      <c r="C45" s="30" t="n">
        <v>45</v>
      </c>
      <c r="D45" s="23" t="s">
        <v>48</v>
      </c>
    </row>
    <row r="46" customFormat="false" ht="15" hidden="false" customHeight="false" outlineLevel="0" collapsed="false">
      <c r="A46" s="26" t="s">
        <v>95</v>
      </c>
      <c r="B46" s="27" t="s">
        <v>94</v>
      </c>
      <c r="C46" s="30" t="n">
        <v>30</v>
      </c>
      <c r="D46" s="23" t="s">
        <v>48</v>
      </c>
    </row>
    <row r="47" customFormat="false" ht="15" hidden="false" customHeight="false" outlineLevel="0" collapsed="false">
      <c r="A47" s="26" t="s">
        <v>96</v>
      </c>
      <c r="B47" s="27" t="s">
        <v>94</v>
      </c>
      <c r="C47" s="30" t="n">
        <v>365</v>
      </c>
      <c r="D47" s="23" t="s">
        <v>48</v>
      </c>
    </row>
    <row r="48" customFormat="false" ht="15" hidden="false" customHeight="false" outlineLevel="0" collapsed="false">
      <c r="A48" s="26" t="s">
        <v>97</v>
      </c>
      <c r="B48" s="27" t="s">
        <v>98</v>
      </c>
      <c r="C48" s="32" t="n">
        <v>100000</v>
      </c>
      <c r="D48" s="23" t="s">
        <v>48</v>
      </c>
    </row>
    <row r="49" customFormat="false" ht="15" hidden="false" customHeight="false" outlineLevel="0" collapsed="false">
      <c r="A49" s="24" t="s">
        <v>99</v>
      </c>
      <c r="B49" s="25"/>
      <c r="C49" s="25"/>
      <c r="D49" s="25"/>
    </row>
    <row r="50" customFormat="false" ht="15" hidden="false" customHeight="false" outlineLevel="0" collapsed="false">
      <c r="A50" s="26" t="s">
        <v>100</v>
      </c>
      <c r="B50" s="27" t="s">
        <v>62</v>
      </c>
      <c r="C50" s="29" t="n">
        <v>0.11</v>
      </c>
      <c r="D50" s="23" t="s">
        <v>48</v>
      </c>
    </row>
    <row r="51" customFormat="false" ht="15" hidden="false" customHeight="false" outlineLevel="0" collapsed="false">
      <c r="A51" s="26" t="s">
        <v>101</v>
      </c>
      <c r="B51" s="27" t="s">
        <v>62</v>
      </c>
      <c r="C51" s="29" t="n">
        <v>0.14</v>
      </c>
      <c r="D51" s="23" t="s">
        <v>48</v>
      </c>
    </row>
    <row r="52" customFormat="false" ht="15" hidden="false" customHeight="false" outlineLevel="0" collapsed="false">
      <c r="A52" s="26" t="s">
        <v>102</v>
      </c>
      <c r="B52" s="27" t="s">
        <v>62</v>
      </c>
      <c r="C52" s="29" t="n">
        <v>0.5</v>
      </c>
      <c r="D52" s="23" t="s">
        <v>48</v>
      </c>
    </row>
    <row r="53" customFormat="false" ht="15" hidden="false" customHeight="false" outlineLevel="0" collapsed="false">
      <c r="A53" s="26" t="s">
        <v>103</v>
      </c>
      <c r="B53" s="27" t="s">
        <v>104</v>
      </c>
      <c r="C53" s="33" t="n">
        <v>1.3</v>
      </c>
      <c r="D53" s="23" t="s">
        <v>48</v>
      </c>
    </row>
    <row r="54" customFormat="false" ht="15" hidden="false" customHeight="false" outlineLevel="0" collapsed="false">
      <c r="A54" s="26" t="s">
        <v>105</v>
      </c>
      <c r="B54" s="27" t="s">
        <v>106</v>
      </c>
      <c r="C54" s="30" t="n">
        <v>4</v>
      </c>
      <c r="D54" s="23" t="s">
        <v>48</v>
      </c>
    </row>
    <row r="56" customFormat="false" ht="15" hidden="false" customHeight="false" outlineLevel="0" collapsed="false">
      <c r="A56" s="9" t="s">
        <v>107</v>
      </c>
      <c r="B56" s="0" t="s">
        <v>62</v>
      </c>
      <c r="D56" s="29" t="n">
        <v>0.55</v>
      </c>
      <c r="E56" s="29" t="n">
        <v>0.65</v>
      </c>
      <c r="F56" s="29" t="n">
        <v>0.75</v>
      </c>
      <c r="G56" s="29" t="n">
        <v>0.8</v>
      </c>
      <c r="H56" s="29" t="n">
        <v>0.8</v>
      </c>
      <c r="I56" s="29" t="n">
        <v>0.82</v>
      </c>
      <c r="J56" s="29" t="n">
        <v>0.82</v>
      </c>
      <c r="K56" s="29" t="n">
        <v>0.82</v>
      </c>
      <c r="L56" s="29" t="n">
        <v>0.82</v>
      </c>
      <c r="M56" s="29" t="n">
        <v>0.82</v>
      </c>
      <c r="N56" s="23" t="s">
        <v>48</v>
      </c>
    </row>
    <row r="58" customFormat="false" ht="15" hidden="false" customHeight="false" outlineLevel="0" collapsed="false">
      <c r="A58" s="15" t="s">
        <v>108</v>
      </c>
    </row>
    <row r="59" customFormat="false" ht="30" hidden="false" customHeight="true" outlineLevel="0" collapsed="false">
      <c r="A59" s="34" t="s">
        <v>109</v>
      </c>
      <c r="B59" s="34"/>
      <c r="C59" s="34" t="s">
        <v>110</v>
      </c>
      <c r="D59" s="34" t="s">
        <v>111</v>
      </c>
      <c r="E59" s="34" t="s">
        <v>112</v>
      </c>
      <c r="F59" s="34" t="s">
        <v>113</v>
      </c>
      <c r="G59" s="34" t="s">
        <v>114</v>
      </c>
    </row>
    <row r="60" customFormat="false" ht="15" hidden="false" customHeight="false" outlineLevel="0" collapsed="false">
      <c r="A60" s="21" t="s">
        <v>115</v>
      </c>
      <c r="C60" s="29" t="n">
        <v>0</v>
      </c>
      <c r="D60" s="29" t="n">
        <v>0</v>
      </c>
      <c r="E60" s="29" t="n">
        <v>0</v>
      </c>
      <c r="F60" s="29" t="n">
        <v>0</v>
      </c>
      <c r="G60" s="29" t="n">
        <v>0</v>
      </c>
      <c r="H60" s="23" t="s">
        <v>48</v>
      </c>
    </row>
    <row r="61" customFormat="false" ht="15" hidden="false" customHeight="false" outlineLevel="0" collapsed="false">
      <c r="A61" s="21" t="s">
        <v>116</v>
      </c>
      <c r="C61" s="29" t="n">
        <v>-0.1</v>
      </c>
      <c r="D61" s="29" t="n">
        <v>0</v>
      </c>
      <c r="E61" s="29" t="n">
        <v>0</v>
      </c>
      <c r="F61" s="29" t="n">
        <v>0</v>
      </c>
      <c r="G61" s="29" t="n">
        <v>0</v>
      </c>
      <c r="H61" s="23" t="s">
        <v>48</v>
      </c>
    </row>
    <row r="62" customFormat="false" ht="15" hidden="false" customHeight="false" outlineLevel="0" collapsed="false">
      <c r="A62" s="21" t="s">
        <v>117</v>
      </c>
      <c r="C62" s="29" t="n">
        <v>0</v>
      </c>
      <c r="D62" s="29" t="n">
        <v>-0.1</v>
      </c>
      <c r="E62" s="29" t="n">
        <v>0</v>
      </c>
      <c r="F62" s="29" t="n">
        <v>0</v>
      </c>
      <c r="G62" s="29" t="n">
        <v>0</v>
      </c>
      <c r="H62" s="23" t="s">
        <v>48</v>
      </c>
    </row>
    <row r="63" customFormat="false" ht="15" hidden="false" customHeight="false" outlineLevel="0" collapsed="false">
      <c r="A63" s="21" t="s">
        <v>118</v>
      </c>
      <c r="C63" s="29" t="n">
        <v>0</v>
      </c>
      <c r="D63" s="29" t="n">
        <v>0</v>
      </c>
      <c r="E63" s="29" t="n">
        <v>0.1</v>
      </c>
      <c r="F63" s="29" t="n">
        <v>0</v>
      </c>
      <c r="G63" s="29" t="n">
        <v>0</v>
      </c>
      <c r="H63" s="23" t="s">
        <v>48</v>
      </c>
    </row>
    <row r="64" customFormat="false" ht="15" hidden="false" customHeight="false" outlineLevel="0" collapsed="false">
      <c r="A64" s="21" t="s">
        <v>119</v>
      </c>
      <c r="C64" s="29" t="n">
        <v>0</v>
      </c>
      <c r="D64" s="29" t="n">
        <v>0</v>
      </c>
      <c r="E64" s="29" t="n">
        <v>0</v>
      </c>
      <c r="F64" s="29" t="n">
        <v>0.1</v>
      </c>
      <c r="G64" s="29" t="n">
        <v>0</v>
      </c>
      <c r="H64" s="23" t="s">
        <v>48</v>
      </c>
    </row>
    <row r="65" customFormat="false" ht="15" hidden="false" customHeight="false" outlineLevel="0" collapsed="false">
      <c r="A65" s="21" t="s">
        <v>120</v>
      </c>
      <c r="C65" s="29" t="n">
        <v>0</v>
      </c>
      <c r="D65" s="29" t="n">
        <v>0</v>
      </c>
      <c r="E65" s="29" t="n">
        <v>0</v>
      </c>
      <c r="F65" s="29" t="n">
        <v>0</v>
      </c>
      <c r="G65" s="29" t="n">
        <v>0.02</v>
      </c>
      <c r="H65" s="23" t="s">
        <v>48</v>
      </c>
    </row>
    <row r="66" customFormat="false" ht="15" hidden="false" customHeight="false" outlineLevel="0" collapsed="false">
      <c r="A66" s="21" t="s">
        <v>121</v>
      </c>
      <c r="C66" s="29" t="n">
        <v>-0.1</v>
      </c>
      <c r="D66" s="29" t="n">
        <v>0</v>
      </c>
      <c r="E66" s="29" t="n">
        <v>0.1</v>
      </c>
      <c r="F66" s="29" t="n">
        <v>0.1</v>
      </c>
      <c r="G66" s="29" t="n">
        <v>0</v>
      </c>
      <c r="H66" s="23" t="s">
        <v>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68"/>
    <pageSetUpPr fitToPage="tru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0"/>
    <col collapsed="false" customWidth="true" hidden="false" outlineLevel="0" max="13" min="3" style="0" width="11.5"/>
  </cols>
  <sheetData>
    <row r="1" customFormat="false" ht="17.35" hidden="false" customHeight="false" outlineLevel="0" collapsed="false">
      <c r="A1" s="20" t="s">
        <v>122</v>
      </c>
    </row>
    <row r="2" customFormat="false" ht="15" hidden="false" customHeight="false" outlineLevel="0" collapsed="false">
      <c r="A2" s="35" t="s">
        <v>123</v>
      </c>
    </row>
    <row r="3" customFormat="false" ht="15" hidden="false" customHeight="false" outlineLevel="0" collapsed="false">
      <c r="A3" s="4" t="s">
        <v>124</v>
      </c>
      <c r="B3" s="4" t="s">
        <v>50</v>
      </c>
      <c r="C3" s="6" t="s">
        <v>125</v>
      </c>
      <c r="D3" s="6" t="s">
        <v>126</v>
      </c>
      <c r="E3" s="6" t="s">
        <v>127</v>
      </c>
      <c r="F3" s="6" t="s">
        <v>128</v>
      </c>
      <c r="G3" s="6" t="s">
        <v>129</v>
      </c>
      <c r="H3" s="6" t="s">
        <v>130</v>
      </c>
      <c r="I3" s="6" t="s">
        <v>131</v>
      </c>
      <c r="J3" s="6" t="s">
        <v>132</v>
      </c>
      <c r="K3" s="6" t="s">
        <v>133</v>
      </c>
      <c r="L3" s="6" t="s">
        <v>134</v>
      </c>
      <c r="M3" s="6" t="s">
        <v>135</v>
      </c>
    </row>
    <row r="4" customFormat="false" ht="15" hidden="false" customHeight="false" outlineLevel="0" collapsed="false">
      <c r="A4" s="24" t="s">
        <v>136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customFormat="false" ht="15" hidden="false" customHeight="false" outlineLevel="0" collapsed="false">
      <c r="A5" s="26" t="s">
        <v>54</v>
      </c>
      <c r="B5" s="36" t="s">
        <v>55</v>
      </c>
      <c r="C5" s="37" t="n">
        <f aca="false">Inputs!$C$10</f>
        <v>40</v>
      </c>
    </row>
    <row r="6" customFormat="false" ht="15" hidden="false" customHeight="false" outlineLevel="0" collapsed="false">
      <c r="A6" s="26" t="s">
        <v>56</v>
      </c>
      <c r="B6" s="36" t="s">
        <v>55</v>
      </c>
      <c r="C6" s="37" t="n">
        <f aca="false">Inputs!$C$11</f>
        <v>230</v>
      </c>
    </row>
    <row r="7" customFormat="false" ht="15" hidden="false" customHeight="false" outlineLevel="0" collapsed="false">
      <c r="A7" s="26" t="s">
        <v>57</v>
      </c>
      <c r="B7" s="36" t="s">
        <v>55</v>
      </c>
      <c r="C7" s="37" t="n">
        <f aca="false">Inputs!$C$12</f>
        <v>250</v>
      </c>
    </row>
    <row r="8" customFormat="false" ht="15" hidden="false" customHeight="false" outlineLevel="0" collapsed="false">
      <c r="A8" s="26" t="s">
        <v>58</v>
      </c>
      <c r="B8" s="36" t="s">
        <v>55</v>
      </c>
      <c r="C8" s="37" t="n">
        <f aca="false">Inputs!$C$13</f>
        <v>95</v>
      </c>
    </row>
    <row r="9" customFormat="false" ht="15" hidden="false" customHeight="false" outlineLevel="0" collapsed="false">
      <c r="A9" s="26" t="s">
        <v>59</v>
      </c>
      <c r="B9" s="36" t="s">
        <v>55</v>
      </c>
      <c r="C9" s="37" t="n">
        <f aca="false">Inputs!$C$14</f>
        <v>48</v>
      </c>
    </row>
    <row r="10" customFormat="false" ht="15" hidden="false" customHeight="false" outlineLevel="0" collapsed="false">
      <c r="A10" s="26" t="s">
        <v>60</v>
      </c>
      <c r="B10" s="36" t="s">
        <v>55</v>
      </c>
      <c r="C10" s="37" t="n">
        <f aca="false">Inputs!$C$15</f>
        <v>36</v>
      </c>
    </row>
    <row r="11" customFormat="false" ht="15" hidden="false" customHeight="false" outlineLevel="0" collapsed="false">
      <c r="A11" s="9" t="s">
        <v>137</v>
      </c>
      <c r="B11" s="36" t="s">
        <v>55</v>
      </c>
      <c r="C11" s="38" t="n">
        <f aca="false">SUM(C6:C10)</f>
        <v>659</v>
      </c>
    </row>
    <row r="12" customFormat="false" ht="15" hidden="false" customHeight="false" outlineLevel="0" collapsed="false">
      <c r="A12" s="26" t="s">
        <v>138</v>
      </c>
      <c r="B12" s="36" t="s">
        <v>55</v>
      </c>
      <c r="C12" s="37" t="n">
        <f aca="false">C11*Inputs!$C$16</f>
        <v>32.95</v>
      </c>
    </row>
    <row r="13" customFormat="false" ht="15" hidden="false" customHeight="false" outlineLevel="0" collapsed="false">
      <c r="A13" s="26" t="s">
        <v>63</v>
      </c>
      <c r="B13" s="36" t="s">
        <v>55</v>
      </c>
      <c r="C13" s="37" t="n">
        <f aca="false">Inputs!$C$17</f>
        <v>22</v>
      </c>
    </row>
    <row r="14" customFormat="false" ht="15" hidden="false" customHeight="false" outlineLevel="0" collapsed="false">
      <c r="A14" s="9" t="s">
        <v>139</v>
      </c>
      <c r="B14" s="36" t="s">
        <v>55</v>
      </c>
      <c r="C14" s="38" t="n">
        <f aca="false">C5+C11+C12+C13</f>
        <v>753.95</v>
      </c>
    </row>
    <row r="15" customFormat="false" ht="15" hidden="false" customHeight="false" outlineLevel="0" collapsed="false">
      <c r="A15" s="26" t="s">
        <v>64</v>
      </c>
      <c r="B15" s="36" t="s">
        <v>55</v>
      </c>
      <c r="C15" s="37" t="n">
        <f aca="false">Inputs!$C$18</f>
        <v>18</v>
      </c>
    </row>
    <row r="16" customFormat="false" ht="15" hidden="false" customHeight="false" outlineLevel="0" collapsed="false">
      <c r="A16" s="9" t="s">
        <v>15</v>
      </c>
      <c r="B16" s="36" t="s">
        <v>55</v>
      </c>
      <c r="C16" s="38" t="n">
        <f aca="false">C14+C15</f>
        <v>771.95</v>
      </c>
    </row>
    <row r="18" customFormat="false" ht="15" hidden="false" customHeight="false" outlineLevel="0" collapsed="false">
      <c r="A18" s="24" t="s">
        <v>65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customFormat="false" ht="15" hidden="false" customHeight="false" outlineLevel="0" collapsed="false">
      <c r="A19" s="26" t="s">
        <v>17</v>
      </c>
      <c r="B19" s="36" t="s">
        <v>55</v>
      </c>
      <c r="C19" s="37" t="n">
        <f aca="false">C16*Inputs!$C$20</f>
        <v>463.17</v>
      </c>
    </row>
    <row r="20" customFormat="false" ht="15" hidden="false" customHeight="false" outlineLevel="0" collapsed="false">
      <c r="A20" s="26" t="s">
        <v>19</v>
      </c>
      <c r="B20" s="36" t="s">
        <v>55</v>
      </c>
      <c r="C20" s="37" t="n">
        <f aca="false">C16-C19</f>
        <v>308.78</v>
      </c>
    </row>
    <row r="21" customFormat="false" ht="15" hidden="false" customHeight="false" outlineLevel="0" collapsed="false">
      <c r="A21" s="9" t="s">
        <v>140</v>
      </c>
      <c r="B21" s="36" t="s">
        <v>55</v>
      </c>
      <c r="C21" s="38" t="n">
        <f aca="false">C19+C20</f>
        <v>771.95</v>
      </c>
    </row>
    <row r="22" customFormat="false" ht="15" hidden="false" customHeight="false" outlineLevel="0" collapsed="false">
      <c r="A22" s="26" t="s">
        <v>21</v>
      </c>
      <c r="B22" s="36" t="s">
        <v>104</v>
      </c>
      <c r="C22" s="39" t="n">
        <f aca="false">C19/C20</f>
        <v>1.5</v>
      </c>
    </row>
    <row r="24" customFormat="false" ht="15" hidden="false" customHeight="false" outlineLevel="0" collapsed="false">
      <c r="A24" s="24" t="s">
        <v>141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customFormat="false" ht="15" hidden="false" customHeight="false" outlineLevel="0" collapsed="false">
      <c r="A25" s="26" t="s">
        <v>142</v>
      </c>
      <c r="B25" s="36" t="s">
        <v>55</v>
      </c>
      <c r="C25" s="37" t="n">
        <f aca="false">C6*(1+Inputs!$C$16)</f>
        <v>241.5</v>
      </c>
    </row>
    <row r="26" customFormat="false" ht="15" hidden="false" customHeight="false" outlineLevel="0" collapsed="false">
      <c r="A26" s="26" t="s">
        <v>143</v>
      </c>
      <c r="B26" s="36" t="s">
        <v>55</v>
      </c>
      <c r="C26" s="37" t="n">
        <f aca="false">C7+C8+C9+C10</f>
        <v>429</v>
      </c>
    </row>
    <row r="27" customFormat="false" ht="15" hidden="false" customHeight="false" outlineLevel="0" collapsed="false">
      <c r="A27" s="26" t="s">
        <v>144</v>
      </c>
      <c r="B27" s="36" t="s">
        <v>55</v>
      </c>
      <c r="C27" s="37" t="n">
        <f aca="false">C26*(1+Inputs!$C$16)</f>
        <v>450.45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68"/>
    <pageSetUpPr fitToPage="tru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0"/>
    <col collapsed="false" customWidth="true" hidden="false" outlineLevel="0" max="13" min="3" style="0" width="11.5"/>
  </cols>
  <sheetData>
    <row r="1" customFormat="false" ht="17.35" hidden="false" customHeight="false" outlineLevel="0" collapsed="false">
      <c r="A1" s="20" t="s">
        <v>145</v>
      </c>
    </row>
    <row r="2" customFormat="false" ht="15" hidden="false" customHeight="false" outlineLevel="0" collapsed="false">
      <c r="A2" s="35" t="s">
        <v>123</v>
      </c>
    </row>
    <row r="3" customFormat="false" ht="15" hidden="false" customHeight="false" outlineLevel="0" collapsed="false">
      <c r="A3" s="4" t="s">
        <v>124</v>
      </c>
      <c r="B3" s="4" t="s">
        <v>50</v>
      </c>
      <c r="C3" s="6" t="s">
        <v>125</v>
      </c>
      <c r="D3" s="6" t="s">
        <v>126</v>
      </c>
      <c r="E3" s="6" t="s">
        <v>127</v>
      </c>
      <c r="F3" s="6" t="s">
        <v>128</v>
      </c>
      <c r="G3" s="6" t="s">
        <v>129</v>
      </c>
      <c r="H3" s="6" t="s">
        <v>130</v>
      </c>
      <c r="I3" s="6" t="s">
        <v>131</v>
      </c>
      <c r="J3" s="6" t="s">
        <v>132</v>
      </c>
      <c r="K3" s="6" t="s">
        <v>133</v>
      </c>
      <c r="L3" s="6" t="s">
        <v>134</v>
      </c>
      <c r="M3" s="6" t="s">
        <v>135</v>
      </c>
    </row>
    <row r="4" customFormat="false" ht="15" hidden="false" customHeight="false" outlineLevel="0" collapsed="false">
      <c r="A4" s="24" t="s">
        <v>146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customFormat="false" ht="15" hidden="false" customHeight="false" outlineLevel="0" collapsed="false">
      <c r="A5" s="26" t="s">
        <v>147</v>
      </c>
      <c r="B5" s="36" t="s">
        <v>62</v>
      </c>
      <c r="D5" s="40" t="n">
        <f aca="false">MAX(0,MIN(1,Inputs!D$56))</f>
        <v>0.55</v>
      </c>
      <c r="E5" s="40" t="n">
        <f aca="false">MAX(0,MIN(1,Inputs!E$56))</f>
        <v>0.65</v>
      </c>
      <c r="F5" s="40" t="n">
        <f aca="false">MAX(0,MIN(1,Inputs!F$56))</f>
        <v>0.75</v>
      </c>
      <c r="G5" s="40" t="n">
        <f aca="false">MAX(0,MIN(1,Inputs!G$56))</f>
        <v>0.8</v>
      </c>
      <c r="H5" s="40" t="n">
        <f aca="false">MAX(0,MIN(1,Inputs!H$56))</f>
        <v>0.8</v>
      </c>
      <c r="I5" s="40" t="n">
        <f aca="false">MAX(0,MIN(1,Inputs!I$56))</f>
        <v>0.82</v>
      </c>
      <c r="J5" s="40" t="n">
        <f aca="false">MAX(0,MIN(1,Inputs!J$56))</f>
        <v>0.82</v>
      </c>
      <c r="K5" s="40" t="n">
        <f aca="false">MAX(0,MIN(1,Inputs!K$56))</f>
        <v>0.82</v>
      </c>
      <c r="L5" s="40" t="n">
        <f aca="false">MAX(0,MIN(1,Inputs!L$56))</f>
        <v>0.82</v>
      </c>
      <c r="M5" s="40" t="n">
        <f aca="false">MAX(0,MIN(1,Inputs!M$56))</f>
        <v>0.82</v>
      </c>
    </row>
    <row r="6" customFormat="false" ht="15" hidden="false" customHeight="false" outlineLevel="0" collapsed="false">
      <c r="A6" s="26" t="s">
        <v>148</v>
      </c>
      <c r="B6" s="36" t="s">
        <v>72</v>
      </c>
      <c r="D6" s="41" t="n">
        <f aca="false">Inputs!$C$25*D5</f>
        <v>2750</v>
      </c>
      <c r="E6" s="41" t="n">
        <f aca="false">Inputs!$C$25*E5</f>
        <v>3250</v>
      </c>
      <c r="F6" s="41" t="n">
        <f aca="false">Inputs!$C$25*F5</f>
        <v>3750</v>
      </c>
      <c r="G6" s="41" t="n">
        <f aca="false">Inputs!$C$25*G5</f>
        <v>4000</v>
      </c>
      <c r="H6" s="41" t="n">
        <f aca="false">Inputs!$C$25*H5</f>
        <v>4000</v>
      </c>
      <c r="I6" s="41" t="n">
        <f aca="false">Inputs!$C$25*I5</f>
        <v>4100</v>
      </c>
      <c r="J6" s="41" t="n">
        <f aca="false">Inputs!$C$25*J5</f>
        <v>4100</v>
      </c>
      <c r="K6" s="41" t="n">
        <f aca="false">Inputs!$C$25*K5</f>
        <v>4100</v>
      </c>
      <c r="L6" s="41" t="n">
        <f aca="false">Inputs!$C$25*L5</f>
        <v>4100</v>
      </c>
      <c r="M6" s="41" t="n">
        <f aca="false">Inputs!$C$25*M5</f>
        <v>4100</v>
      </c>
    </row>
    <row r="7" customFormat="false" ht="15" hidden="false" customHeight="false" outlineLevel="0" collapsed="false">
      <c r="A7" s="26" t="s">
        <v>149</v>
      </c>
      <c r="B7" s="36" t="s">
        <v>74</v>
      </c>
      <c r="D7" s="42" t="n">
        <f aca="false">Inputs!$C$26*(1+Inputs!$C$27)^(Inputs!D$6-1)</f>
        <v>6000</v>
      </c>
      <c r="E7" s="42" t="n">
        <f aca="false">Inputs!$C$26*(1+Inputs!$C$27)^(Inputs!E$6-1)</f>
        <v>6240</v>
      </c>
      <c r="F7" s="42" t="n">
        <f aca="false">Inputs!$C$26*(1+Inputs!$C$27)^(Inputs!F$6-1)</f>
        <v>6489.6</v>
      </c>
      <c r="G7" s="42" t="n">
        <f aca="false">Inputs!$C$26*(1+Inputs!$C$27)^(Inputs!G$6-1)</f>
        <v>6749.184</v>
      </c>
      <c r="H7" s="42" t="n">
        <f aca="false">Inputs!$C$26*(1+Inputs!$C$27)^(Inputs!H$6-1)</f>
        <v>7019.15136</v>
      </c>
      <c r="I7" s="42" t="n">
        <f aca="false">Inputs!$C$26*(1+Inputs!$C$27)^(Inputs!I$6-1)</f>
        <v>7299.9174144</v>
      </c>
      <c r="J7" s="42" t="n">
        <f aca="false">Inputs!$C$26*(1+Inputs!$C$27)^(Inputs!J$6-1)</f>
        <v>7591.914110976</v>
      </c>
      <c r="K7" s="42" t="n">
        <f aca="false">Inputs!$C$26*(1+Inputs!$C$27)^(Inputs!K$6-1)</f>
        <v>7895.59067541504</v>
      </c>
      <c r="L7" s="42" t="n">
        <f aca="false">Inputs!$C$26*(1+Inputs!$C$27)^(Inputs!L$6-1)</f>
        <v>8211.41430243164</v>
      </c>
      <c r="M7" s="42" t="n">
        <f aca="false">Inputs!$C$26*(1+Inputs!$C$27)^(Inputs!M$6-1)</f>
        <v>8539.87087452891</v>
      </c>
    </row>
    <row r="8" customFormat="false" ht="15" hidden="false" customHeight="false" outlineLevel="0" collapsed="false">
      <c r="A8" s="26" t="s">
        <v>150</v>
      </c>
      <c r="B8" s="36" t="s">
        <v>55</v>
      </c>
      <c r="D8" s="37" t="n">
        <f aca="false">D6*D7/Inputs!$C$48</f>
        <v>165</v>
      </c>
      <c r="E8" s="37" t="n">
        <f aca="false">E6*E7/Inputs!$C$48</f>
        <v>202.8</v>
      </c>
      <c r="F8" s="37" t="n">
        <f aca="false">F6*F7/Inputs!$C$48</f>
        <v>243.36</v>
      </c>
      <c r="G8" s="37" t="n">
        <f aca="false">G6*G7/Inputs!$C$48</f>
        <v>269.96736</v>
      </c>
      <c r="H8" s="37" t="n">
        <f aca="false">H6*H7/Inputs!$C$48</f>
        <v>280.7660544</v>
      </c>
      <c r="I8" s="37" t="n">
        <f aca="false">I6*I7/Inputs!$C$48</f>
        <v>299.2966139904</v>
      </c>
      <c r="J8" s="37" t="n">
        <f aca="false">J6*J7/Inputs!$C$48</f>
        <v>311.268478550016</v>
      </c>
      <c r="K8" s="37" t="n">
        <f aca="false">K6*K7/Inputs!$C$48</f>
        <v>323.719217692017</v>
      </c>
      <c r="L8" s="37" t="n">
        <f aca="false">L6*L7/Inputs!$C$48</f>
        <v>336.667986399697</v>
      </c>
      <c r="M8" s="37" t="n">
        <f aca="false">M6*M7/Inputs!$C$48</f>
        <v>350.134705855685</v>
      </c>
    </row>
    <row r="9" customFormat="false" ht="15" hidden="false" customHeight="false" outlineLevel="0" collapsed="false">
      <c r="A9" s="26" t="s">
        <v>151</v>
      </c>
      <c r="B9" s="36" t="s">
        <v>55</v>
      </c>
      <c r="D9" s="37" t="n">
        <f aca="false">D8*Inputs!$C$28</f>
        <v>16.5</v>
      </c>
      <c r="E9" s="37" t="n">
        <f aca="false">E8*Inputs!$C$28</f>
        <v>20.28</v>
      </c>
      <c r="F9" s="37" t="n">
        <f aca="false">F8*Inputs!$C$28</f>
        <v>24.336</v>
      </c>
      <c r="G9" s="37" t="n">
        <f aca="false">G8*Inputs!$C$28</f>
        <v>26.996736</v>
      </c>
      <c r="H9" s="37" t="n">
        <f aca="false">H8*Inputs!$C$28</f>
        <v>28.07660544</v>
      </c>
      <c r="I9" s="37" t="n">
        <f aca="false">I8*Inputs!$C$28</f>
        <v>29.92966139904</v>
      </c>
      <c r="J9" s="37" t="n">
        <f aca="false">J8*Inputs!$C$28</f>
        <v>31.1268478550016</v>
      </c>
      <c r="K9" s="37" t="n">
        <f aca="false">K8*Inputs!$C$28</f>
        <v>32.3719217692017</v>
      </c>
      <c r="L9" s="37" t="n">
        <f aca="false">L8*Inputs!$C$28</f>
        <v>33.6667986399697</v>
      </c>
      <c r="M9" s="37" t="n">
        <f aca="false">M8*Inputs!$C$28</f>
        <v>35.0134705855685</v>
      </c>
    </row>
    <row r="10" customFormat="false" ht="15" hidden="false" customHeight="false" outlineLevel="0" collapsed="false">
      <c r="A10" s="9" t="s">
        <v>152</v>
      </c>
      <c r="B10" s="36" t="s">
        <v>55</v>
      </c>
      <c r="D10" s="38" t="n">
        <f aca="false">D8+D9</f>
        <v>181.5</v>
      </c>
      <c r="E10" s="38" t="n">
        <f aca="false">E8+E9</f>
        <v>223.08</v>
      </c>
      <c r="F10" s="38" t="n">
        <f aca="false">F8+F9</f>
        <v>267.696</v>
      </c>
      <c r="G10" s="38" t="n">
        <f aca="false">G8+G9</f>
        <v>296.964096</v>
      </c>
      <c r="H10" s="38" t="n">
        <f aca="false">H8+H9</f>
        <v>308.84265984</v>
      </c>
      <c r="I10" s="38" t="n">
        <f aca="false">I8+I9</f>
        <v>329.22627538944</v>
      </c>
      <c r="J10" s="38" t="n">
        <f aca="false">J8+J9</f>
        <v>342.395326405018</v>
      </c>
      <c r="K10" s="38" t="n">
        <f aca="false">K8+K9</f>
        <v>356.091139461218</v>
      </c>
      <c r="L10" s="38" t="n">
        <f aca="false">L8+L9</f>
        <v>370.334785039667</v>
      </c>
      <c r="M10" s="38" t="n">
        <f aca="false">M8+M9</f>
        <v>385.148176441254</v>
      </c>
    </row>
    <row r="12" customFormat="false" ht="15" hidden="false" customHeight="false" outlineLevel="0" collapsed="false">
      <c r="A12" s="24" t="s">
        <v>153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customFormat="false" ht="15" hidden="false" customHeight="false" outlineLevel="0" collapsed="false">
      <c r="A13" s="26" t="s">
        <v>154</v>
      </c>
      <c r="B13" s="36" t="s">
        <v>55</v>
      </c>
      <c r="D13" s="37" t="n">
        <f aca="false">D6*Inputs!$C$30*(1+Inputs!$C$31)^(Inputs!D$6-1)/Inputs!$C$48</f>
        <v>26.125</v>
      </c>
      <c r="E13" s="37" t="n">
        <f aca="false">E6*Inputs!$C$30*(1+Inputs!$C$31)^(Inputs!E$6-1)/Inputs!$C$48</f>
        <v>32.41875</v>
      </c>
      <c r="F13" s="37" t="n">
        <f aca="false">F6*Inputs!$C$30*(1+Inputs!$C$31)^(Inputs!F$6-1)/Inputs!$C$48</f>
        <v>39.2765625</v>
      </c>
      <c r="G13" s="37" t="n">
        <f aca="false">G6*Inputs!$C$30*(1+Inputs!$C$31)^(Inputs!G$6-1)/Inputs!$C$48</f>
        <v>43.98975</v>
      </c>
      <c r="H13" s="37" t="n">
        <f aca="false">H6*Inputs!$C$30*(1+Inputs!$C$31)^(Inputs!H$6-1)/Inputs!$C$48</f>
        <v>46.1892375</v>
      </c>
      <c r="I13" s="37" t="n">
        <f aca="false">I6*Inputs!$C$30*(1+Inputs!$C$31)^(Inputs!I$6-1)/Inputs!$C$48</f>
        <v>49.711166859375</v>
      </c>
      <c r="J13" s="37" t="n">
        <f aca="false">J6*Inputs!$C$30*(1+Inputs!$C$31)^(Inputs!J$6-1)/Inputs!$C$48</f>
        <v>52.1967252023438</v>
      </c>
      <c r="K13" s="37" t="n">
        <f aca="false">K6*Inputs!$C$30*(1+Inputs!$C$31)^(Inputs!K$6-1)/Inputs!$C$48</f>
        <v>54.806561462461</v>
      </c>
      <c r="L13" s="37" t="n">
        <f aca="false">L6*Inputs!$C$30*(1+Inputs!$C$31)^(Inputs!L$6-1)/Inputs!$C$48</f>
        <v>57.546889535584</v>
      </c>
      <c r="M13" s="37" t="n">
        <f aca="false">M6*Inputs!$C$30*(1+Inputs!$C$31)^(Inputs!M$6-1)/Inputs!$C$48</f>
        <v>60.4242340123632</v>
      </c>
    </row>
    <row r="14" customFormat="false" ht="15" hidden="false" customHeight="false" outlineLevel="0" collapsed="false">
      <c r="A14" s="26" t="s">
        <v>155</v>
      </c>
      <c r="B14" s="36" t="s">
        <v>55</v>
      </c>
      <c r="D14" s="37" t="n">
        <f aca="false">-D13*Inputs!$C$32</f>
        <v>-4.7025</v>
      </c>
      <c r="E14" s="37" t="n">
        <f aca="false">-E13*Inputs!$C$32</f>
        <v>-5.835375</v>
      </c>
      <c r="F14" s="37" t="n">
        <f aca="false">-F13*Inputs!$C$32</f>
        <v>-7.06978125</v>
      </c>
      <c r="G14" s="37" t="n">
        <f aca="false">-G13*Inputs!$C$32</f>
        <v>-7.918155</v>
      </c>
      <c r="H14" s="37" t="n">
        <f aca="false">-H13*Inputs!$C$32</f>
        <v>-8.31406275</v>
      </c>
      <c r="I14" s="37" t="n">
        <f aca="false">-I13*Inputs!$C$32</f>
        <v>-8.9480100346875</v>
      </c>
      <c r="J14" s="37" t="n">
        <f aca="false">-J13*Inputs!$C$32</f>
        <v>-9.39541053642188</v>
      </c>
      <c r="K14" s="37" t="n">
        <f aca="false">-K13*Inputs!$C$32</f>
        <v>-9.86518106324297</v>
      </c>
      <c r="L14" s="37" t="n">
        <f aca="false">-L13*Inputs!$C$32</f>
        <v>-10.3584401164051</v>
      </c>
      <c r="M14" s="37" t="n">
        <f aca="false">-M13*Inputs!$C$32</f>
        <v>-10.8763621222254</v>
      </c>
    </row>
    <row r="15" customFormat="false" ht="15" hidden="false" customHeight="false" outlineLevel="0" collapsed="false">
      <c r="A15" s="26" t="s">
        <v>156</v>
      </c>
      <c r="B15" s="36" t="s">
        <v>55</v>
      </c>
      <c r="D15" s="37" t="n">
        <f aca="false">D10*Inputs!$C$33</f>
        <v>5.445</v>
      </c>
      <c r="E15" s="37" t="n">
        <f aca="false">E10*Inputs!$C$33</f>
        <v>6.6924</v>
      </c>
      <c r="F15" s="37" t="n">
        <f aca="false">F10*Inputs!$C$33</f>
        <v>8.03088</v>
      </c>
      <c r="G15" s="37" t="n">
        <f aca="false">G10*Inputs!$C$33</f>
        <v>8.90892288</v>
      </c>
      <c r="H15" s="37" t="n">
        <f aca="false">H10*Inputs!$C$33</f>
        <v>9.2652797952</v>
      </c>
      <c r="I15" s="37" t="n">
        <f aca="false">I10*Inputs!$C$33</f>
        <v>9.8767882616832</v>
      </c>
      <c r="J15" s="37" t="n">
        <f aca="false">J10*Inputs!$C$33</f>
        <v>10.2718597921505</v>
      </c>
      <c r="K15" s="37" t="n">
        <f aca="false">K10*Inputs!$C$33</f>
        <v>10.6827341838366</v>
      </c>
      <c r="L15" s="37" t="n">
        <f aca="false">L10*Inputs!$C$33</f>
        <v>11.11004355119</v>
      </c>
      <c r="M15" s="37" t="n">
        <f aca="false">M10*Inputs!$C$33</f>
        <v>11.5544452932376</v>
      </c>
    </row>
    <row r="16" customFormat="false" ht="15" hidden="false" customHeight="false" outlineLevel="0" collapsed="false">
      <c r="A16" s="26" t="s">
        <v>157</v>
      </c>
      <c r="B16" s="36" t="s">
        <v>55</v>
      </c>
      <c r="D16" s="37" t="n">
        <f aca="false">Inputs!$C$34*(1+Inputs!$C$35)^(Inputs!D$6-1)</f>
        <v>32</v>
      </c>
      <c r="E16" s="37" t="n">
        <f aca="false">Inputs!$C$34*(1+Inputs!$C$35)^(Inputs!E$6-1)</f>
        <v>33.92</v>
      </c>
      <c r="F16" s="37" t="n">
        <f aca="false">Inputs!$C$34*(1+Inputs!$C$35)^(Inputs!F$6-1)</f>
        <v>35.9552</v>
      </c>
      <c r="G16" s="37" t="n">
        <f aca="false">Inputs!$C$34*(1+Inputs!$C$35)^(Inputs!G$6-1)</f>
        <v>38.112512</v>
      </c>
      <c r="H16" s="37" t="n">
        <f aca="false">Inputs!$C$34*(1+Inputs!$C$35)^(Inputs!H$6-1)</f>
        <v>40.39926272</v>
      </c>
      <c r="I16" s="37" t="n">
        <f aca="false">Inputs!$C$34*(1+Inputs!$C$35)^(Inputs!I$6-1)</f>
        <v>42.8232184832</v>
      </c>
      <c r="J16" s="37" t="n">
        <f aca="false">Inputs!$C$34*(1+Inputs!$C$35)^(Inputs!J$6-1)</f>
        <v>45.392611592192</v>
      </c>
      <c r="K16" s="37" t="n">
        <f aca="false">Inputs!$C$34*(1+Inputs!$C$35)^(Inputs!K$6-1)</f>
        <v>48.1161682877235</v>
      </c>
      <c r="L16" s="37" t="n">
        <f aca="false">Inputs!$C$34*(1+Inputs!$C$35)^(Inputs!L$6-1)</f>
        <v>51.003138384987</v>
      </c>
      <c r="M16" s="37" t="n">
        <f aca="false">Inputs!$C$34*(1+Inputs!$C$35)^(Inputs!M$6-1)</f>
        <v>54.0633266880862</v>
      </c>
    </row>
    <row r="17" customFormat="false" ht="15" hidden="false" customHeight="false" outlineLevel="0" collapsed="false">
      <c r="A17" s="26" t="s">
        <v>158</v>
      </c>
      <c r="B17" s="36" t="s">
        <v>55</v>
      </c>
      <c r="D17" s="37" t="n">
        <f aca="false">Capex_Funding!$C$26*Inputs!$C$36</f>
        <v>6.435</v>
      </c>
      <c r="E17" s="37" t="n">
        <f aca="false">Capex_Funding!$C$26*Inputs!$C$36</f>
        <v>6.435</v>
      </c>
      <c r="F17" s="37" t="n">
        <f aca="false">Capex_Funding!$C$26*Inputs!$C$36</f>
        <v>6.435</v>
      </c>
      <c r="G17" s="37" t="n">
        <f aca="false">Capex_Funding!$C$26*Inputs!$C$36</f>
        <v>6.435</v>
      </c>
      <c r="H17" s="37" t="n">
        <f aca="false">Capex_Funding!$C$26*Inputs!$C$36</f>
        <v>6.435</v>
      </c>
      <c r="I17" s="37" t="n">
        <f aca="false">Capex_Funding!$C$26*Inputs!$C$36</f>
        <v>6.435</v>
      </c>
      <c r="J17" s="37" t="n">
        <f aca="false">Capex_Funding!$C$26*Inputs!$C$36</f>
        <v>6.435</v>
      </c>
      <c r="K17" s="37" t="n">
        <f aca="false">Capex_Funding!$C$26*Inputs!$C$36</f>
        <v>6.435</v>
      </c>
      <c r="L17" s="37" t="n">
        <f aca="false">Capex_Funding!$C$26*Inputs!$C$36</f>
        <v>6.435</v>
      </c>
      <c r="M17" s="37" t="n">
        <f aca="false">Capex_Funding!$C$26*Inputs!$C$36</f>
        <v>6.435</v>
      </c>
    </row>
    <row r="18" customFormat="false" ht="15" hidden="false" customHeight="false" outlineLevel="0" collapsed="false">
      <c r="A18" s="26" t="s">
        <v>159</v>
      </c>
      <c r="B18" s="36" t="s">
        <v>55</v>
      </c>
      <c r="D18" s="37" t="n">
        <f aca="false">(Capex_Funding!$C$25+Capex_Funding!$C$27)*Inputs!$C$37</f>
        <v>2.7678</v>
      </c>
      <c r="E18" s="37" t="n">
        <f aca="false">(Capex_Funding!$C$25+Capex_Funding!$C$27)*Inputs!$C$37</f>
        <v>2.7678</v>
      </c>
      <c r="F18" s="37" t="n">
        <f aca="false">(Capex_Funding!$C$25+Capex_Funding!$C$27)*Inputs!$C$37</f>
        <v>2.7678</v>
      </c>
      <c r="G18" s="37" t="n">
        <f aca="false">(Capex_Funding!$C$25+Capex_Funding!$C$27)*Inputs!$C$37</f>
        <v>2.7678</v>
      </c>
      <c r="H18" s="37" t="n">
        <f aca="false">(Capex_Funding!$C$25+Capex_Funding!$C$27)*Inputs!$C$37</f>
        <v>2.7678</v>
      </c>
      <c r="I18" s="37" t="n">
        <f aca="false">(Capex_Funding!$C$25+Capex_Funding!$C$27)*Inputs!$C$37</f>
        <v>2.7678</v>
      </c>
      <c r="J18" s="37" t="n">
        <f aca="false">(Capex_Funding!$C$25+Capex_Funding!$C$27)*Inputs!$C$37</f>
        <v>2.7678</v>
      </c>
      <c r="K18" s="37" t="n">
        <f aca="false">(Capex_Funding!$C$25+Capex_Funding!$C$27)*Inputs!$C$37</f>
        <v>2.7678</v>
      </c>
      <c r="L18" s="37" t="n">
        <f aca="false">(Capex_Funding!$C$25+Capex_Funding!$C$27)*Inputs!$C$37</f>
        <v>2.7678</v>
      </c>
      <c r="M18" s="37" t="n">
        <f aca="false">(Capex_Funding!$C$25+Capex_Funding!$C$27)*Inputs!$C$37</f>
        <v>2.7678</v>
      </c>
    </row>
    <row r="19" customFormat="false" ht="15" hidden="false" customHeight="false" outlineLevel="0" collapsed="false">
      <c r="A19" s="26" t="s">
        <v>160</v>
      </c>
      <c r="B19" s="36" t="s">
        <v>55</v>
      </c>
      <c r="D19" s="37" t="n">
        <f aca="false">Inputs!$C$38*(1+Inputs!$C$39)^(Inputs!D$6-1)</f>
        <v>9</v>
      </c>
      <c r="E19" s="37" t="n">
        <f aca="false">Inputs!$C$38*(1+Inputs!$C$39)^(Inputs!E$6-1)</f>
        <v>9.45</v>
      </c>
      <c r="F19" s="37" t="n">
        <f aca="false">Inputs!$C$38*(1+Inputs!$C$39)^(Inputs!F$6-1)</f>
        <v>9.9225</v>
      </c>
      <c r="G19" s="37" t="n">
        <f aca="false">Inputs!$C$38*(1+Inputs!$C$39)^(Inputs!G$6-1)</f>
        <v>10.418625</v>
      </c>
      <c r="H19" s="37" t="n">
        <f aca="false">Inputs!$C$38*(1+Inputs!$C$39)^(Inputs!H$6-1)</f>
        <v>10.93955625</v>
      </c>
      <c r="I19" s="37" t="n">
        <f aca="false">Inputs!$C$38*(1+Inputs!$C$39)^(Inputs!I$6-1)</f>
        <v>11.4865340625</v>
      </c>
      <c r="J19" s="37" t="n">
        <f aca="false">Inputs!$C$38*(1+Inputs!$C$39)^(Inputs!J$6-1)</f>
        <v>12.060860765625</v>
      </c>
      <c r="K19" s="37" t="n">
        <f aca="false">Inputs!$C$38*(1+Inputs!$C$39)^(Inputs!K$6-1)</f>
        <v>12.6639038039063</v>
      </c>
      <c r="L19" s="37" t="n">
        <f aca="false">Inputs!$C$38*(1+Inputs!$C$39)^(Inputs!L$6-1)</f>
        <v>13.2970989941016</v>
      </c>
      <c r="M19" s="37" t="n">
        <f aca="false">Inputs!$C$38*(1+Inputs!$C$39)^(Inputs!M$6-1)</f>
        <v>13.9619539438066</v>
      </c>
    </row>
    <row r="20" customFormat="false" ht="15" hidden="false" customHeight="false" outlineLevel="0" collapsed="false">
      <c r="A20" s="9" t="s">
        <v>161</v>
      </c>
      <c r="B20" s="36" t="s">
        <v>55</v>
      </c>
      <c r="D20" s="38" t="n">
        <f aca="false">SUM(D13:D19)</f>
        <v>77.0703</v>
      </c>
      <c r="E20" s="38" t="n">
        <f aca="false">SUM(E13:E19)</f>
        <v>85.848575</v>
      </c>
      <c r="F20" s="38" t="n">
        <f aca="false">SUM(F13:F19)</f>
        <v>95.31816125</v>
      </c>
      <c r="G20" s="38" t="n">
        <f aca="false">SUM(G13:G19)</f>
        <v>102.71445488</v>
      </c>
      <c r="H20" s="38" t="n">
        <f aca="false">SUM(H13:H19)</f>
        <v>107.6820735152</v>
      </c>
      <c r="I20" s="38" t="n">
        <f aca="false">SUM(I13:I19)</f>
        <v>114.152497632071</v>
      </c>
      <c r="J20" s="38" t="n">
        <f aca="false">SUM(J13:J19)</f>
        <v>119.729446815889</v>
      </c>
      <c r="K20" s="38" t="n">
        <f aca="false">SUM(K13:K19)</f>
        <v>125.606986674684</v>
      </c>
      <c r="L20" s="38" t="n">
        <f aca="false">SUM(L13:L19)</f>
        <v>131.801530349457</v>
      </c>
      <c r="M20" s="38" t="n">
        <f aca="false">SUM(M13:M19)</f>
        <v>138.330397815268</v>
      </c>
    </row>
    <row r="21" customFormat="false" ht="15" hidden="false" customHeight="false" outlineLevel="0" collapsed="false">
      <c r="A21" s="26" t="s">
        <v>162</v>
      </c>
      <c r="B21" s="36" t="s">
        <v>55</v>
      </c>
      <c r="D21" s="37" t="n">
        <f aca="false">D13+D14+D15</f>
        <v>26.8675</v>
      </c>
      <c r="E21" s="37" t="n">
        <f aca="false">E13+E14+E15</f>
        <v>33.275775</v>
      </c>
      <c r="F21" s="37" t="n">
        <f aca="false">F13+F14+F15</f>
        <v>40.23766125</v>
      </c>
      <c r="G21" s="37" t="n">
        <f aca="false">G13+G14+G15</f>
        <v>44.98051788</v>
      </c>
      <c r="H21" s="37" t="n">
        <f aca="false">H13+H14+H15</f>
        <v>47.1404545452</v>
      </c>
      <c r="I21" s="37" t="n">
        <f aca="false">I13+I14+I15</f>
        <v>50.6399450863707</v>
      </c>
      <c r="J21" s="37" t="n">
        <f aca="false">J13+J14+J15</f>
        <v>53.0731744580724</v>
      </c>
      <c r="K21" s="37" t="n">
        <f aca="false">K13+K14+K15</f>
        <v>55.6241145830545</v>
      </c>
      <c r="L21" s="37" t="n">
        <f aca="false">L13+L14+L15</f>
        <v>58.2984929703689</v>
      </c>
      <c r="M21" s="37" t="n">
        <f aca="false">M13+M14+M15</f>
        <v>61.1023171833754</v>
      </c>
    </row>
    <row r="22" customFormat="false" ht="15" hidden="false" customHeight="false" outlineLevel="0" collapsed="false">
      <c r="A22" s="26" t="s">
        <v>163</v>
      </c>
      <c r="B22" s="36" t="s">
        <v>55</v>
      </c>
      <c r="D22" s="37" t="n">
        <f aca="false">D16+D17+D18+D19</f>
        <v>50.2028</v>
      </c>
      <c r="E22" s="37" t="n">
        <f aca="false">E16+E17+E18+E19</f>
        <v>52.5728</v>
      </c>
      <c r="F22" s="37" t="n">
        <f aca="false">F16+F17+F18+F19</f>
        <v>55.0805</v>
      </c>
      <c r="G22" s="37" t="n">
        <f aca="false">G16+G17+G18+G19</f>
        <v>57.733937</v>
      </c>
      <c r="H22" s="37" t="n">
        <f aca="false">H16+H17+H18+H19</f>
        <v>60.54161897</v>
      </c>
      <c r="I22" s="37" t="n">
        <f aca="false">I16+I17+I18+I19</f>
        <v>63.5125525457</v>
      </c>
      <c r="J22" s="37" t="n">
        <f aca="false">J16+J17+J18+J19</f>
        <v>66.656272357817</v>
      </c>
      <c r="K22" s="37" t="n">
        <f aca="false">K16+K17+K18+K19</f>
        <v>69.9828720916298</v>
      </c>
      <c r="L22" s="37" t="n">
        <f aca="false">L16+L17+L18+L19</f>
        <v>73.5030373790885</v>
      </c>
      <c r="M22" s="37" t="n">
        <f aca="false">M16+M17+M18+M19</f>
        <v>77.2280806318928</v>
      </c>
    </row>
    <row r="23" customFormat="false" ht="15" hidden="false" customHeight="false" outlineLevel="0" collapsed="false">
      <c r="A23" s="9" t="s">
        <v>20</v>
      </c>
      <c r="B23" s="36" t="s">
        <v>55</v>
      </c>
      <c r="D23" s="38" t="n">
        <f aca="false">D10-D20</f>
        <v>104.4297</v>
      </c>
      <c r="E23" s="38" t="n">
        <f aca="false">E10-E20</f>
        <v>137.231425</v>
      </c>
      <c r="F23" s="38" t="n">
        <f aca="false">F10-F20</f>
        <v>172.37783875</v>
      </c>
      <c r="G23" s="38" t="n">
        <f aca="false">G10-G20</f>
        <v>194.24964112</v>
      </c>
      <c r="H23" s="38" t="n">
        <f aca="false">H10-H20</f>
        <v>201.1605863248</v>
      </c>
      <c r="I23" s="38" t="n">
        <f aca="false">I10-I20</f>
        <v>215.073777757369</v>
      </c>
      <c r="J23" s="38" t="n">
        <f aca="false">J10-J20</f>
        <v>222.665879589128</v>
      </c>
      <c r="K23" s="38" t="n">
        <f aca="false">K10-K20</f>
        <v>230.484152786534</v>
      </c>
      <c r="L23" s="38" t="n">
        <f aca="false">L10-L20</f>
        <v>238.53325469021</v>
      </c>
      <c r="M23" s="38" t="n">
        <f aca="false">M10-M20</f>
        <v>246.817778625986</v>
      </c>
    </row>
    <row r="25" customFormat="false" ht="15" hidden="false" customHeight="false" outlineLevel="0" collapsed="false">
      <c r="A25" s="24" t="s">
        <v>164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customFormat="false" ht="15" hidden="false" customHeight="false" outlineLevel="0" collapsed="false">
      <c r="A26" s="26" t="s">
        <v>165</v>
      </c>
      <c r="B26" s="36" t="s">
        <v>55</v>
      </c>
      <c r="D26" s="37" t="n">
        <f aca="false">IF(Inputs!D$6&lt;=Inputs!$C$41,Capex_Funding!$C$25/Inputs!$C$41,0)</f>
        <v>8.05</v>
      </c>
      <c r="E26" s="37" t="n">
        <f aca="false">IF(Inputs!E$6&lt;=Inputs!$C$41,Capex_Funding!$C$25/Inputs!$C$41,0)</f>
        <v>8.05</v>
      </c>
      <c r="F26" s="37" t="n">
        <f aca="false">IF(Inputs!F$6&lt;=Inputs!$C$41,Capex_Funding!$C$25/Inputs!$C$41,0)</f>
        <v>8.05</v>
      </c>
      <c r="G26" s="37" t="n">
        <f aca="false">IF(Inputs!G$6&lt;=Inputs!$C$41,Capex_Funding!$C$25/Inputs!$C$41,0)</f>
        <v>8.05</v>
      </c>
      <c r="H26" s="37" t="n">
        <f aca="false">IF(Inputs!H$6&lt;=Inputs!$C$41,Capex_Funding!$C$25/Inputs!$C$41,0)</f>
        <v>8.05</v>
      </c>
      <c r="I26" s="37" t="n">
        <f aca="false">IF(Inputs!I$6&lt;=Inputs!$C$41,Capex_Funding!$C$25/Inputs!$C$41,0)</f>
        <v>8.05</v>
      </c>
      <c r="J26" s="37" t="n">
        <f aca="false">IF(Inputs!J$6&lt;=Inputs!$C$41,Capex_Funding!$C$25/Inputs!$C$41,0)</f>
        <v>8.05</v>
      </c>
      <c r="K26" s="37" t="n">
        <f aca="false">IF(Inputs!K$6&lt;=Inputs!$C$41,Capex_Funding!$C$25/Inputs!$C$41,0)</f>
        <v>8.05</v>
      </c>
      <c r="L26" s="37" t="n">
        <f aca="false">IF(Inputs!L$6&lt;=Inputs!$C$41,Capex_Funding!$C$25/Inputs!$C$41,0)</f>
        <v>8.05</v>
      </c>
      <c r="M26" s="37" t="n">
        <f aca="false">IF(Inputs!M$6&lt;=Inputs!$C$41,Capex_Funding!$C$25/Inputs!$C$41,0)</f>
        <v>8.05</v>
      </c>
    </row>
    <row r="27" customFormat="false" ht="15" hidden="false" customHeight="false" outlineLevel="0" collapsed="false">
      <c r="A27" s="26" t="s">
        <v>166</v>
      </c>
      <c r="B27" s="36" t="s">
        <v>55</v>
      </c>
      <c r="D27" s="37" t="n">
        <f aca="false">IF(Inputs!D$6&lt;=Inputs!$C$42,Capex_Funding!$C$27/Inputs!$C$42,0)</f>
        <v>30.03</v>
      </c>
      <c r="E27" s="37" t="n">
        <f aca="false">IF(Inputs!E$6&lt;=Inputs!$C$42,Capex_Funding!$C$27/Inputs!$C$42,0)</f>
        <v>30.03</v>
      </c>
      <c r="F27" s="37" t="n">
        <f aca="false">IF(Inputs!F$6&lt;=Inputs!$C$42,Capex_Funding!$C$27/Inputs!$C$42,0)</f>
        <v>30.03</v>
      </c>
      <c r="G27" s="37" t="n">
        <f aca="false">IF(Inputs!G$6&lt;=Inputs!$C$42,Capex_Funding!$C$27/Inputs!$C$42,0)</f>
        <v>30.03</v>
      </c>
      <c r="H27" s="37" t="n">
        <f aca="false">IF(Inputs!H$6&lt;=Inputs!$C$42,Capex_Funding!$C$27/Inputs!$C$42,0)</f>
        <v>30.03</v>
      </c>
      <c r="I27" s="37" t="n">
        <f aca="false">IF(Inputs!I$6&lt;=Inputs!$C$42,Capex_Funding!$C$27/Inputs!$C$42,0)</f>
        <v>30.03</v>
      </c>
      <c r="J27" s="37" t="n">
        <f aca="false">IF(Inputs!J$6&lt;=Inputs!$C$42,Capex_Funding!$C$27/Inputs!$C$42,0)</f>
        <v>30.03</v>
      </c>
      <c r="K27" s="37" t="n">
        <f aca="false">IF(Inputs!K$6&lt;=Inputs!$C$42,Capex_Funding!$C$27/Inputs!$C$42,0)</f>
        <v>30.03</v>
      </c>
      <c r="L27" s="37" t="n">
        <f aca="false">IF(Inputs!L$6&lt;=Inputs!$C$42,Capex_Funding!$C$27/Inputs!$C$42,0)</f>
        <v>30.03</v>
      </c>
      <c r="M27" s="37" t="n">
        <f aca="false">IF(Inputs!M$6&lt;=Inputs!$C$42,Capex_Funding!$C$27/Inputs!$C$42,0)</f>
        <v>30.03</v>
      </c>
    </row>
    <row r="28" customFormat="false" ht="15" hidden="false" customHeight="false" outlineLevel="0" collapsed="false">
      <c r="A28" s="26" t="s">
        <v>167</v>
      </c>
      <c r="B28" s="36" t="s">
        <v>55</v>
      </c>
      <c r="D28" s="37" t="n">
        <f aca="false">IF(Inputs!D$6&lt;=Inputs!$C$43,Capex_Funding!$C$13/Inputs!$C$43,0)</f>
        <v>4.4</v>
      </c>
      <c r="E28" s="37" t="n">
        <f aca="false">IF(Inputs!E$6&lt;=Inputs!$C$43,Capex_Funding!$C$13/Inputs!$C$43,0)</f>
        <v>4.4</v>
      </c>
      <c r="F28" s="37" t="n">
        <f aca="false">IF(Inputs!F$6&lt;=Inputs!$C$43,Capex_Funding!$C$13/Inputs!$C$43,0)</f>
        <v>4.4</v>
      </c>
      <c r="G28" s="37" t="n">
        <f aca="false">IF(Inputs!G$6&lt;=Inputs!$C$43,Capex_Funding!$C$13/Inputs!$C$43,0)</f>
        <v>4.4</v>
      </c>
      <c r="H28" s="37" t="n">
        <f aca="false">IF(Inputs!H$6&lt;=Inputs!$C$43,Capex_Funding!$C$13/Inputs!$C$43,0)</f>
        <v>4.4</v>
      </c>
      <c r="I28" s="37" t="n">
        <f aca="false">IF(Inputs!I$6&lt;=Inputs!$C$43,Capex_Funding!$C$13/Inputs!$C$43,0)</f>
        <v>0</v>
      </c>
      <c r="J28" s="37" t="n">
        <f aca="false">IF(Inputs!J$6&lt;=Inputs!$C$43,Capex_Funding!$C$13/Inputs!$C$43,0)</f>
        <v>0</v>
      </c>
      <c r="K28" s="37" t="n">
        <f aca="false">IF(Inputs!K$6&lt;=Inputs!$C$43,Capex_Funding!$C$13/Inputs!$C$43,0)</f>
        <v>0</v>
      </c>
      <c r="L28" s="37" t="n">
        <f aca="false">IF(Inputs!L$6&lt;=Inputs!$C$43,Capex_Funding!$C$13/Inputs!$C$43,0)</f>
        <v>0</v>
      </c>
      <c r="M28" s="37" t="n">
        <f aca="false">IF(Inputs!M$6&lt;=Inputs!$C$43,Capex_Funding!$C$13/Inputs!$C$43,0)</f>
        <v>0</v>
      </c>
    </row>
    <row r="29" customFormat="false" ht="15" hidden="false" customHeight="false" outlineLevel="0" collapsed="false">
      <c r="A29" s="9" t="s">
        <v>168</v>
      </c>
      <c r="B29" s="36" t="s">
        <v>55</v>
      </c>
      <c r="D29" s="38" t="n">
        <f aca="false">SUM(D26:D28)</f>
        <v>42.48</v>
      </c>
      <c r="E29" s="38" t="n">
        <f aca="false">SUM(E26:E28)</f>
        <v>42.48</v>
      </c>
      <c r="F29" s="38" t="n">
        <f aca="false">SUM(F26:F28)</f>
        <v>42.48</v>
      </c>
      <c r="G29" s="38" t="n">
        <f aca="false">SUM(G26:G28)</f>
        <v>42.48</v>
      </c>
      <c r="H29" s="38" t="n">
        <f aca="false">SUM(H26:H28)</f>
        <v>42.48</v>
      </c>
      <c r="I29" s="38" t="n">
        <f aca="false">SUM(I26:I28)</f>
        <v>38.08</v>
      </c>
      <c r="J29" s="38" t="n">
        <f aca="false">SUM(J26:J28)</f>
        <v>38.08</v>
      </c>
      <c r="K29" s="38" t="n">
        <f aca="false">SUM(K26:K28)</f>
        <v>38.08</v>
      </c>
      <c r="L29" s="38" t="n">
        <f aca="false">SUM(L26:L28)</f>
        <v>38.08</v>
      </c>
      <c r="M29" s="38" t="n">
        <f aca="false">SUM(M26:M28)</f>
        <v>38.08</v>
      </c>
    </row>
    <row r="30" customFormat="false" ht="15" hidden="false" customHeight="false" outlineLevel="0" collapsed="false">
      <c r="A30" s="26" t="s">
        <v>169</v>
      </c>
      <c r="B30" s="36" t="s">
        <v>55</v>
      </c>
      <c r="C30" s="37" t="n">
        <f aca="false">Capex_Funding!C14</f>
        <v>753.95</v>
      </c>
      <c r="D30" s="37" t="n">
        <f aca="false">C30-D29</f>
        <v>711.47</v>
      </c>
      <c r="E30" s="37" t="n">
        <f aca="false">D30-E29</f>
        <v>668.99</v>
      </c>
      <c r="F30" s="37" t="n">
        <f aca="false">E30-F29</f>
        <v>626.51</v>
      </c>
      <c r="G30" s="37" t="n">
        <f aca="false">F30-G29</f>
        <v>584.03</v>
      </c>
      <c r="H30" s="37" t="n">
        <f aca="false">G30-H29</f>
        <v>541.55</v>
      </c>
      <c r="I30" s="37" t="n">
        <f aca="false">H30-I29</f>
        <v>503.47</v>
      </c>
      <c r="J30" s="37" t="n">
        <f aca="false">I30-J29</f>
        <v>465.39</v>
      </c>
      <c r="K30" s="37" t="n">
        <f aca="false">J30-K29</f>
        <v>427.31</v>
      </c>
      <c r="L30" s="37" t="n">
        <f aca="false">K30-L29</f>
        <v>389.23</v>
      </c>
      <c r="M30" s="37" t="n">
        <f aca="false">L30-M29</f>
        <v>351.15</v>
      </c>
    </row>
    <row r="32" customFormat="false" ht="15" hidden="false" customHeight="false" outlineLevel="0" collapsed="false">
      <c r="A32" s="24" t="s">
        <v>170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customFormat="false" ht="15" hidden="false" customHeight="false" outlineLevel="0" collapsed="false">
      <c r="A33" s="26" t="s">
        <v>171</v>
      </c>
      <c r="B33" s="36" t="s">
        <v>55</v>
      </c>
      <c r="C33" s="37" t="n">
        <f aca="false">0</f>
        <v>0</v>
      </c>
      <c r="D33" s="37" t="n">
        <f aca="false">D10*Inputs!$C$45/Inputs!$C$47</f>
        <v>22.3767123287671</v>
      </c>
      <c r="E33" s="37" t="n">
        <f aca="false">E10*Inputs!$C$45/Inputs!$C$47</f>
        <v>27.5030136986301</v>
      </c>
      <c r="F33" s="37" t="n">
        <f aca="false">F10*Inputs!$C$45/Inputs!$C$47</f>
        <v>33.0036164383562</v>
      </c>
      <c r="G33" s="37" t="n">
        <f aca="false">G10*Inputs!$C$45/Inputs!$C$47</f>
        <v>36.6120118356164</v>
      </c>
      <c r="H33" s="37" t="n">
        <f aca="false">H10*Inputs!$C$45/Inputs!$C$47</f>
        <v>38.0764923090411</v>
      </c>
      <c r="I33" s="37" t="n">
        <f aca="false">I10*Inputs!$C$45/Inputs!$C$47</f>
        <v>40.5895408014378</v>
      </c>
      <c r="J33" s="37" t="n">
        <f aca="false">J10*Inputs!$C$45/Inputs!$C$47</f>
        <v>42.2131224334953</v>
      </c>
      <c r="K33" s="37" t="n">
        <f aca="false">K10*Inputs!$C$45/Inputs!$C$47</f>
        <v>43.9016473308352</v>
      </c>
      <c r="L33" s="37" t="n">
        <f aca="false">L10*Inputs!$C$45/Inputs!$C$47</f>
        <v>45.6577132240686</v>
      </c>
      <c r="M33" s="37" t="n">
        <f aca="false">M10*Inputs!$C$45/Inputs!$C$47</f>
        <v>47.4840217530313</v>
      </c>
    </row>
    <row r="34" customFormat="false" ht="15" hidden="false" customHeight="false" outlineLevel="0" collapsed="false">
      <c r="A34" s="26" t="s">
        <v>172</v>
      </c>
      <c r="B34" s="36" t="s">
        <v>55</v>
      </c>
      <c r="C34" s="37" t="n">
        <f aca="false">0</f>
        <v>0</v>
      </c>
      <c r="D34" s="37" t="n">
        <f aca="false">D20*Inputs!$C$46/Inputs!$C$47</f>
        <v>6.33454520547945</v>
      </c>
      <c r="E34" s="37" t="n">
        <f aca="false">E20*Inputs!$C$46/Inputs!$C$47</f>
        <v>7.05604726027397</v>
      </c>
      <c r="F34" s="37" t="n">
        <f aca="false">F20*Inputs!$C$46/Inputs!$C$47</f>
        <v>7.83436941780822</v>
      </c>
      <c r="G34" s="37" t="n">
        <f aca="false">G20*Inputs!$C$46/Inputs!$C$47</f>
        <v>8.44228396273973</v>
      </c>
      <c r="H34" s="37" t="n">
        <f aca="false">H20*Inputs!$C$46/Inputs!$C$47</f>
        <v>8.85058138481096</v>
      </c>
      <c r="I34" s="37" t="n">
        <f aca="false">I20*Inputs!$C$46/Inputs!$C$47</f>
        <v>9.38239706564965</v>
      </c>
      <c r="J34" s="37" t="n">
        <f aca="false">J20*Inputs!$C$46/Inputs!$C$47</f>
        <v>9.84077645062105</v>
      </c>
      <c r="K34" s="37" t="n">
        <f aca="false">K20*Inputs!$C$46/Inputs!$C$47</f>
        <v>10.3238619184672</v>
      </c>
      <c r="L34" s="37" t="n">
        <f aca="false">L20*Inputs!$C$46/Inputs!$C$47</f>
        <v>10.833002494476</v>
      </c>
      <c r="M34" s="37" t="n">
        <f aca="false">M20*Inputs!$C$46/Inputs!$C$47</f>
        <v>11.3696217382412</v>
      </c>
    </row>
    <row r="35" customFormat="false" ht="15" hidden="false" customHeight="false" outlineLevel="0" collapsed="false">
      <c r="A35" s="9" t="s">
        <v>173</v>
      </c>
      <c r="B35" s="36" t="s">
        <v>55</v>
      </c>
      <c r="C35" s="43" t="n">
        <f aca="false">C33-C34</f>
        <v>0</v>
      </c>
      <c r="D35" s="43" t="n">
        <f aca="false">D33-D34</f>
        <v>16.0421671232877</v>
      </c>
      <c r="E35" s="43" t="n">
        <f aca="false">E33-E34</f>
        <v>20.4469664383562</v>
      </c>
      <c r="F35" s="43" t="n">
        <f aca="false">F33-F34</f>
        <v>25.169247020548</v>
      </c>
      <c r="G35" s="43" t="n">
        <f aca="false">G33-G34</f>
        <v>28.1697278728767</v>
      </c>
      <c r="H35" s="43" t="n">
        <f aca="false">H33-H34</f>
        <v>29.2259109242301</v>
      </c>
      <c r="I35" s="43" t="n">
        <f aca="false">I33-I34</f>
        <v>31.2071437357882</v>
      </c>
      <c r="J35" s="43" t="n">
        <f aca="false">J33-J34</f>
        <v>32.3723459828743</v>
      </c>
      <c r="K35" s="43" t="n">
        <f aca="false">K33-K34</f>
        <v>33.5777854123679</v>
      </c>
      <c r="L35" s="43" t="n">
        <f aca="false">L33-L34</f>
        <v>34.8247107295926</v>
      </c>
      <c r="M35" s="43" t="n">
        <f aca="false">M33-M34</f>
        <v>36.1144000147901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68"/>
    <pageSetUpPr fitToPage="tru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0"/>
    <col collapsed="false" customWidth="true" hidden="false" outlineLevel="0" max="13" min="3" style="0" width="11.5"/>
  </cols>
  <sheetData>
    <row r="1" customFormat="false" ht="17.35" hidden="false" customHeight="false" outlineLevel="0" collapsed="false">
      <c r="A1" s="20" t="s">
        <v>174</v>
      </c>
    </row>
    <row r="2" customFormat="false" ht="15" hidden="false" customHeight="false" outlineLevel="0" collapsed="false">
      <c r="A2" s="35" t="s">
        <v>123</v>
      </c>
    </row>
    <row r="3" customFormat="false" ht="15" hidden="false" customHeight="false" outlineLevel="0" collapsed="false">
      <c r="A3" s="4" t="s">
        <v>124</v>
      </c>
      <c r="B3" s="4" t="s">
        <v>50</v>
      </c>
      <c r="C3" s="6" t="s">
        <v>125</v>
      </c>
      <c r="D3" s="6" t="s">
        <v>126</v>
      </c>
      <c r="E3" s="6" t="s">
        <v>127</v>
      </c>
      <c r="F3" s="6" t="s">
        <v>128</v>
      </c>
      <c r="G3" s="6" t="s">
        <v>129</v>
      </c>
      <c r="H3" s="6" t="s">
        <v>130</v>
      </c>
      <c r="I3" s="6" t="s">
        <v>131</v>
      </c>
      <c r="J3" s="6" t="s">
        <v>132</v>
      </c>
      <c r="K3" s="6" t="s">
        <v>133</v>
      </c>
      <c r="L3" s="6" t="s">
        <v>134</v>
      </c>
      <c r="M3" s="6" t="s">
        <v>135</v>
      </c>
    </row>
    <row r="4" customFormat="false" ht="15" hidden="false" customHeight="false" outlineLevel="0" collapsed="false">
      <c r="A4" s="24" t="s">
        <v>175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customFormat="false" ht="15" hidden="false" customHeight="false" outlineLevel="0" collapsed="false">
      <c r="A5" s="26" t="s">
        <v>176</v>
      </c>
      <c r="B5" s="36" t="s">
        <v>55</v>
      </c>
      <c r="C5" s="37" t="n">
        <f aca="false">0</f>
        <v>0</v>
      </c>
      <c r="D5" s="37" t="n">
        <f aca="false">C10</f>
        <v>463.17</v>
      </c>
      <c r="E5" s="37" t="n">
        <f aca="false">D10</f>
        <v>463.17</v>
      </c>
      <c r="F5" s="37" t="n">
        <f aca="false">E10</f>
        <v>463.17</v>
      </c>
      <c r="G5" s="37" t="n">
        <f aca="false">F10</f>
        <v>397.002857142857</v>
      </c>
      <c r="H5" s="37" t="n">
        <f aca="false">G10</f>
        <v>330.835714285714</v>
      </c>
      <c r="I5" s="37" t="n">
        <f aca="false">H10</f>
        <v>264.668571428571</v>
      </c>
      <c r="J5" s="37" t="n">
        <f aca="false">I10</f>
        <v>198.501428571429</v>
      </c>
      <c r="K5" s="37" t="n">
        <f aca="false">J10</f>
        <v>132.334285714286</v>
      </c>
      <c r="L5" s="37" t="n">
        <f aca="false">K10</f>
        <v>66.1671428571429</v>
      </c>
      <c r="M5" s="37" t="n">
        <f aca="false">L10</f>
        <v>0</v>
      </c>
    </row>
    <row r="6" customFormat="false" ht="15" hidden="false" customHeight="false" outlineLevel="0" collapsed="false">
      <c r="A6" s="26" t="s">
        <v>177</v>
      </c>
      <c r="B6" s="36" t="s">
        <v>55</v>
      </c>
      <c r="C6" s="37" t="n">
        <f aca="false">Capex_Funding!C19</f>
        <v>463.17</v>
      </c>
      <c r="D6" s="37" t="n">
        <f aca="false">0</f>
        <v>0</v>
      </c>
      <c r="E6" s="37" t="n">
        <f aca="false">0</f>
        <v>0</v>
      </c>
      <c r="F6" s="37" t="n">
        <f aca="false">0</f>
        <v>0</v>
      </c>
      <c r="G6" s="37" t="n">
        <f aca="false">0</f>
        <v>0</v>
      </c>
      <c r="H6" s="37" t="n">
        <f aca="false">0</f>
        <v>0</v>
      </c>
      <c r="I6" s="37" t="n">
        <f aca="false">0</f>
        <v>0</v>
      </c>
      <c r="J6" s="37" t="n">
        <f aca="false">0</f>
        <v>0</v>
      </c>
      <c r="K6" s="37" t="n">
        <f aca="false">0</f>
        <v>0</v>
      </c>
      <c r="L6" s="37" t="n">
        <f aca="false">0</f>
        <v>0</v>
      </c>
      <c r="M6" s="37" t="n">
        <f aca="false">0</f>
        <v>0</v>
      </c>
    </row>
    <row r="7" customFormat="false" ht="15" hidden="false" customHeight="false" outlineLevel="0" collapsed="false">
      <c r="A7" s="26" t="s">
        <v>178</v>
      </c>
      <c r="B7" s="36" t="s">
        <v>62</v>
      </c>
      <c r="C7" s="40" t="n">
        <f aca="false">Inputs!$C$21</f>
        <v>0.105</v>
      </c>
      <c r="D7" s="40" t="n">
        <f aca="false">Inputs!$C$21</f>
        <v>0.105</v>
      </c>
      <c r="E7" s="40" t="n">
        <f aca="false">Inputs!$C$21</f>
        <v>0.105</v>
      </c>
      <c r="F7" s="40" t="n">
        <f aca="false">Inputs!$C$21</f>
        <v>0.105</v>
      </c>
      <c r="G7" s="40" t="n">
        <f aca="false">Inputs!$C$21</f>
        <v>0.105</v>
      </c>
      <c r="H7" s="40" t="n">
        <f aca="false">Inputs!$C$21</f>
        <v>0.105</v>
      </c>
      <c r="I7" s="40" t="n">
        <f aca="false">Inputs!$C$21</f>
        <v>0.105</v>
      </c>
      <c r="J7" s="40" t="n">
        <f aca="false">Inputs!$C$21</f>
        <v>0.105</v>
      </c>
      <c r="K7" s="40" t="n">
        <f aca="false">Inputs!$C$21</f>
        <v>0.105</v>
      </c>
      <c r="L7" s="40" t="n">
        <f aca="false">Inputs!$C$21</f>
        <v>0.105</v>
      </c>
      <c r="M7" s="40" t="n">
        <f aca="false">Inputs!$C$21</f>
        <v>0.105</v>
      </c>
    </row>
    <row r="8" customFormat="false" ht="15" hidden="false" customHeight="false" outlineLevel="0" collapsed="false">
      <c r="A8" s="26" t="s">
        <v>179</v>
      </c>
      <c r="B8" s="36" t="s">
        <v>55</v>
      </c>
      <c r="C8" s="37" t="n">
        <f aca="false">0</f>
        <v>0</v>
      </c>
      <c r="D8" s="37" t="n">
        <f aca="false">D5*D7</f>
        <v>48.63285</v>
      </c>
      <c r="E8" s="37" t="n">
        <f aca="false">E5*E7</f>
        <v>48.63285</v>
      </c>
      <c r="F8" s="37" t="n">
        <f aca="false">F5*F7</f>
        <v>48.63285</v>
      </c>
      <c r="G8" s="37" t="n">
        <f aca="false">G5*G7</f>
        <v>41.6853</v>
      </c>
      <c r="H8" s="37" t="n">
        <f aca="false">H5*H7</f>
        <v>34.73775</v>
      </c>
      <c r="I8" s="37" t="n">
        <f aca="false">I5*I7</f>
        <v>27.7902</v>
      </c>
      <c r="J8" s="37" t="n">
        <f aca="false">J5*J7</f>
        <v>20.84265</v>
      </c>
      <c r="K8" s="37" t="n">
        <f aca="false">K5*K7</f>
        <v>13.8951</v>
      </c>
      <c r="L8" s="37" t="n">
        <f aca="false">L5*L7</f>
        <v>6.94755</v>
      </c>
      <c r="M8" s="37" t="n">
        <f aca="false">M5*M7</f>
        <v>0</v>
      </c>
    </row>
    <row r="9" customFormat="false" ht="15" hidden="false" customHeight="false" outlineLevel="0" collapsed="false">
      <c r="A9" s="26" t="s">
        <v>180</v>
      </c>
      <c r="B9" s="36" t="s">
        <v>55</v>
      </c>
      <c r="C9" s="37" t="n">
        <f aca="false">0</f>
        <v>0</v>
      </c>
      <c r="D9" s="37" t="n">
        <f aca="false">IF(AND(Inputs!D$6&gt;Inputs!$C$22,Inputs!D$6&lt;=Inputs!$C$22+Inputs!$C$23),MIN(D5,Capex_Funding!$C$19/Inputs!$C$23),0)</f>
        <v>0</v>
      </c>
      <c r="E9" s="37" t="n">
        <f aca="false">IF(AND(Inputs!E$6&gt;Inputs!$C$22,Inputs!E$6&lt;=Inputs!$C$22+Inputs!$C$23),MIN(E5,Capex_Funding!$C$19/Inputs!$C$23),0)</f>
        <v>0</v>
      </c>
      <c r="F9" s="37" t="n">
        <f aca="false">IF(AND(Inputs!F$6&gt;Inputs!$C$22,Inputs!F$6&lt;=Inputs!$C$22+Inputs!$C$23),MIN(F5,Capex_Funding!$C$19/Inputs!$C$23),0)</f>
        <v>66.1671428571429</v>
      </c>
      <c r="G9" s="37" t="n">
        <f aca="false">IF(AND(Inputs!G$6&gt;Inputs!$C$22,Inputs!G$6&lt;=Inputs!$C$22+Inputs!$C$23),MIN(G5,Capex_Funding!$C$19/Inputs!$C$23),0)</f>
        <v>66.1671428571429</v>
      </c>
      <c r="H9" s="37" t="n">
        <f aca="false">IF(AND(Inputs!H$6&gt;Inputs!$C$22,Inputs!H$6&lt;=Inputs!$C$22+Inputs!$C$23),MIN(H5,Capex_Funding!$C$19/Inputs!$C$23),0)</f>
        <v>66.1671428571429</v>
      </c>
      <c r="I9" s="37" t="n">
        <f aca="false">IF(AND(Inputs!I$6&gt;Inputs!$C$22,Inputs!I$6&lt;=Inputs!$C$22+Inputs!$C$23),MIN(I5,Capex_Funding!$C$19/Inputs!$C$23),0)</f>
        <v>66.1671428571429</v>
      </c>
      <c r="J9" s="37" t="n">
        <f aca="false">IF(AND(Inputs!J$6&gt;Inputs!$C$22,Inputs!J$6&lt;=Inputs!$C$22+Inputs!$C$23),MIN(J5,Capex_Funding!$C$19/Inputs!$C$23),0)</f>
        <v>66.1671428571429</v>
      </c>
      <c r="K9" s="37" t="n">
        <f aca="false">IF(AND(Inputs!K$6&gt;Inputs!$C$22,Inputs!K$6&lt;=Inputs!$C$22+Inputs!$C$23),MIN(K5,Capex_Funding!$C$19/Inputs!$C$23),0)</f>
        <v>66.1671428571429</v>
      </c>
      <c r="L9" s="37" t="n">
        <f aca="false">IF(AND(Inputs!L$6&gt;Inputs!$C$22,Inputs!L$6&lt;=Inputs!$C$22+Inputs!$C$23),MIN(L5,Capex_Funding!$C$19/Inputs!$C$23),0)</f>
        <v>66.1671428571429</v>
      </c>
      <c r="M9" s="37" t="n">
        <f aca="false">IF(AND(Inputs!M$6&gt;Inputs!$C$22,Inputs!M$6&lt;=Inputs!$C$22+Inputs!$C$23),MIN(M5,Capex_Funding!$C$19/Inputs!$C$23),0)</f>
        <v>0</v>
      </c>
    </row>
    <row r="10" customFormat="false" ht="15" hidden="false" customHeight="false" outlineLevel="0" collapsed="false">
      <c r="A10" s="9" t="s">
        <v>181</v>
      </c>
      <c r="B10" s="36" t="s">
        <v>55</v>
      </c>
      <c r="C10" s="38" t="n">
        <f aca="false">C5+C6-C9</f>
        <v>463.17</v>
      </c>
      <c r="D10" s="38" t="n">
        <f aca="false">D5+D6-D9</f>
        <v>463.17</v>
      </c>
      <c r="E10" s="38" t="n">
        <f aca="false">E5+E6-E9</f>
        <v>463.17</v>
      </c>
      <c r="F10" s="38" t="n">
        <f aca="false">F5+F6-F9</f>
        <v>397.002857142857</v>
      </c>
      <c r="G10" s="38" t="n">
        <f aca="false">G5+G6-G9</f>
        <v>330.835714285714</v>
      </c>
      <c r="H10" s="38" t="n">
        <f aca="false">H5+H6-H9</f>
        <v>264.668571428571</v>
      </c>
      <c r="I10" s="38" t="n">
        <f aca="false">I5+I6-I9</f>
        <v>198.501428571429</v>
      </c>
      <c r="J10" s="38" t="n">
        <f aca="false">J5+J6-J9</f>
        <v>132.334285714286</v>
      </c>
      <c r="K10" s="38" t="n">
        <f aca="false">K5+K6-K9</f>
        <v>66.1671428571429</v>
      </c>
      <c r="L10" s="38" t="n">
        <f aca="false">L5+L6-L9</f>
        <v>0</v>
      </c>
      <c r="M10" s="38" t="n">
        <f aca="false">M5+M6-M9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68"/>
    <pageSetUpPr fitToPage="tru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0"/>
    <col collapsed="false" customWidth="true" hidden="false" outlineLevel="0" max="13" min="3" style="0" width="11.5"/>
  </cols>
  <sheetData>
    <row r="1" customFormat="false" ht="17.35" hidden="false" customHeight="false" outlineLevel="0" collapsed="false">
      <c r="A1" s="20" t="s">
        <v>182</v>
      </c>
    </row>
    <row r="2" customFormat="false" ht="15" hidden="false" customHeight="false" outlineLevel="0" collapsed="false">
      <c r="A2" s="35" t="s">
        <v>123</v>
      </c>
    </row>
    <row r="3" customFormat="false" ht="15" hidden="false" customHeight="false" outlineLevel="0" collapsed="false">
      <c r="A3" s="4" t="s">
        <v>124</v>
      </c>
      <c r="B3" s="4" t="s">
        <v>50</v>
      </c>
      <c r="C3" s="6" t="s">
        <v>125</v>
      </c>
      <c r="D3" s="6" t="s">
        <v>126</v>
      </c>
      <c r="E3" s="6" t="s">
        <v>127</v>
      </c>
      <c r="F3" s="6" t="s">
        <v>128</v>
      </c>
      <c r="G3" s="6" t="s">
        <v>129</v>
      </c>
      <c r="H3" s="6" t="s">
        <v>130</v>
      </c>
      <c r="I3" s="6" t="s">
        <v>131</v>
      </c>
      <c r="J3" s="6" t="s">
        <v>132</v>
      </c>
      <c r="K3" s="6" t="s">
        <v>133</v>
      </c>
      <c r="L3" s="6" t="s">
        <v>134</v>
      </c>
      <c r="M3" s="6" t="s">
        <v>135</v>
      </c>
    </row>
    <row r="4" customFormat="false" ht="15" hidden="false" customHeight="false" outlineLevel="0" collapsed="false">
      <c r="A4" s="24" t="s">
        <v>183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customFormat="false" ht="15" hidden="false" customHeight="false" outlineLevel="0" collapsed="false">
      <c r="A5" s="26" t="s">
        <v>152</v>
      </c>
      <c r="B5" s="36" t="s">
        <v>55</v>
      </c>
      <c r="D5" s="37" t="n">
        <f aca="false">Revenue_Costs!D10</f>
        <v>181.5</v>
      </c>
      <c r="E5" s="37" t="n">
        <f aca="false">Revenue_Costs!E10</f>
        <v>223.08</v>
      </c>
      <c r="F5" s="37" t="n">
        <f aca="false">Revenue_Costs!F10</f>
        <v>267.696</v>
      </c>
      <c r="G5" s="37" t="n">
        <f aca="false">Revenue_Costs!G10</f>
        <v>296.964096</v>
      </c>
      <c r="H5" s="37" t="n">
        <f aca="false">Revenue_Costs!H10</f>
        <v>308.84265984</v>
      </c>
      <c r="I5" s="37" t="n">
        <f aca="false">Revenue_Costs!I10</f>
        <v>329.22627538944</v>
      </c>
      <c r="J5" s="37" t="n">
        <f aca="false">Revenue_Costs!J10</f>
        <v>342.395326405018</v>
      </c>
      <c r="K5" s="37" t="n">
        <f aca="false">Revenue_Costs!K10</f>
        <v>356.091139461218</v>
      </c>
      <c r="L5" s="37" t="n">
        <f aca="false">Revenue_Costs!L10</f>
        <v>370.334785039667</v>
      </c>
      <c r="M5" s="37" t="n">
        <f aca="false">Revenue_Costs!M10</f>
        <v>385.148176441254</v>
      </c>
    </row>
    <row r="6" customFormat="false" ht="15" hidden="false" customHeight="false" outlineLevel="0" collapsed="false">
      <c r="A6" s="26" t="s">
        <v>77</v>
      </c>
      <c r="B6" s="36" t="s">
        <v>55</v>
      </c>
      <c r="D6" s="37" t="n">
        <f aca="false">Revenue_Costs!D20</f>
        <v>77.0703</v>
      </c>
      <c r="E6" s="37" t="n">
        <f aca="false">Revenue_Costs!E20</f>
        <v>85.848575</v>
      </c>
      <c r="F6" s="37" t="n">
        <f aca="false">Revenue_Costs!F20</f>
        <v>95.31816125</v>
      </c>
      <c r="G6" s="37" t="n">
        <f aca="false">Revenue_Costs!G20</f>
        <v>102.71445488</v>
      </c>
      <c r="H6" s="37" t="n">
        <f aca="false">Revenue_Costs!H20</f>
        <v>107.6820735152</v>
      </c>
      <c r="I6" s="37" t="n">
        <f aca="false">Revenue_Costs!I20</f>
        <v>114.152497632071</v>
      </c>
      <c r="J6" s="37" t="n">
        <f aca="false">Revenue_Costs!J20</f>
        <v>119.729446815889</v>
      </c>
      <c r="K6" s="37" t="n">
        <f aca="false">Revenue_Costs!K20</f>
        <v>125.606986674684</v>
      </c>
      <c r="L6" s="37" t="n">
        <f aca="false">Revenue_Costs!L20</f>
        <v>131.801530349457</v>
      </c>
      <c r="M6" s="37" t="n">
        <f aca="false">Revenue_Costs!M20</f>
        <v>138.330397815268</v>
      </c>
    </row>
    <row r="7" customFormat="false" ht="15" hidden="false" customHeight="false" outlineLevel="0" collapsed="false">
      <c r="A7" s="9" t="s">
        <v>20</v>
      </c>
      <c r="B7" s="36" t="s">
        <v>55</v>
      </c>
      <c r="D7" s="38" t="n">
        <f aca="false">D5-D6</f>
        <v>104.4297</v>
      </c>
      <c r="E7" s="38" t="n">
        <f aca="false">E5-E6</f>
        <v>137.231425</v>
      </c>
      <c r="F7" s="38" t="n">
        <f aca="false">F5-F6</f>
        <v>172.37783875</v>
      </c>
      <c r="G7" s="38" t="n">
        <f aca="false">G5-G6</f>
        <v>194.24964112</v>
      </c>
      <c r="H7" s="38" t="n">
        <f aca="false">H5-H6</f>
        <v>201.1605863248</v>
      </c>
      <c r="I7" s="38" t="n">
        <f aca="false">I5-I6</f>
        <v>215.073777757369</v>
      </c>
      <c r="J7" s="38" t="n">
        <f aca="false">J5-J6</f>
        <v>222.665879589128</v>
      </c>
      <c r="K7" s="38" t="n">
        <f aca="false">K5-K6</f>
        <v>230.484152786534</v>
      </c>
      <c r="L7" s="38" t="n">
        <f aca="false">L5-L6</f>
        <v>238.53325469021</v>
      </c>
      <c r="M7" s="38" t="n">
        <f aca="false">M5-M6</f>
        <v>246.817778625986</v>
      </c>
    </row>
    <row r="8" customFormat="false" ht="15" hidden="false" customHeight="false" outlineLevel="0" collapsed="false">
      <c r="A8" s="26" t="s">
        <v>184</v>
      </c>
      <c r="B8" s="36" t="s">
        <v>62</v>
      </c>
      <c r="D8" s="40" t="n">
        <f aca="false">IF(D5=0,0,D7/D5)</f>
        <v>0.575370247933884</v>
      </c>
      <c r="E8" s="40" t="n">
        <f aca="false">IF(E5=0,0,E7/E5)</f>
        <v>0.615166868388022</v>
      </c>
      <c r="F8" s="40" t="n">
        <f aca="false">IF(F5=0,0,F7/F5)</f>
        <v>0.643931320415696</v>
      </c>
      <c r="G8" s="40" t="n">
        <f aca="false">IF(G5=0,0,G7/G5)</f>
        <v>0.654118271321258</v>
      </c>
      <c r="H8" s="40" t="n">
        <f aca="false">IF(H5=0,0,H7/H5)</f>
        <v>0.651336788865288</v>
      </c>
      <c r="I8" s="40" t="n">
        <f aca="false">IF(I5=0,0,I7/I5)</f>
        <v>0.653270391322684</v>
      </c>
      <c r="J8" s="40" t="n">
        <f aca="false">IF(J5=0,0,J7/J5)</f>
        <v>0.650318104300693</v>
      </c>
      <c r="K8" s="40" t="n">
        <f aca="false">IF(K5=0,0,K7/K5)</f>
        <v>0.647261690182089</v>
      </c>
      <c r="L8" s="40" t="n">
        <f aca="false">IF(L5=0,0,L7/L5)</f>
        <v>0.644101673205395</v>
      </c>
      <c r="M8" s="40" t="n">
        <f aca="false">IF(M5=0,0,M7/M5)</f>
        <v>0.640838497293606</v>
      </c>
    </row>
    <row r="9" customFormat="false" ht="15" hidden="false" customHeight="false" outlineLevel="0" collapsed="false">
      <c r="A9" s="26" t="s">
        <v>185</v>
      </c>
      <c r="B9" s="36" t="s">
        <v>55</v>
      </c>
      <c r="D9" s="37" t="n">
        <f aca="false">Revenue_Costs!D29</f>
        <v>42.48</v>
      </c>
      <c r="E9" s="37" t="n">
        <f aca="false">Revenue_Costs!E29</f>
        <v>42.48</v>
      </c>
      <c r="F9" s="37" t="n">
        <f aca="false">Revenue_Costs!F29</f>
        <v>42.48</v>
      </c>
      <c r="G9" s="37" t="n">
        <f aca="false">Revenue_Costs!G29</f>
        <v>42.48</v>
      </c>
      <c r="H9" s="37" t="n">
        <f aca="false">Revenue_Costs!H29</f>
        <v>42.48</v>
      </c>
      <c r="I9" s="37" t="n">
        <f aca="false">Revenue_Costs!I29</f>
        <v>38.08</v>
      </c>
      <c r="J9" s="37" t="n">
        <f aca="false">Revenue_Costs!J29</f>
        <v>38.08</v>
      </c>
      <c r="K9" s="37" t="n">
        <f aca="false">Revenue_Costs!K29</f>
        <v>38.08</v>
      </c>
      <c r="L9" s="37" t="n">
        <f aca="false">Revenue_Costs!L29</f>
        <v>38.08</v>
      </c>
      <c r="M9" s="37" t="n">
        <f aca="false">Revenue_Costs!M29</f>
        <v>38.08</v>
      </c>
    </row>
    <row r="10" customFormat="false" ht="15" hidden="false" customHeight="false" outlineLevel="0" collapsed="false">
      <c r="A10" s="9" t="s">
        <v>186</v>
      </c>
      <c r="B10" s="36" t="s">
        <v>55</v>
      </c>
      <c r="D10" s="43" t="n">
        <f aca="false">D7-D9</f>
        <v>61.9497</v>
      </c>
      <c r="E10" s="43" t="n">
        <f aca="false">E7-E9</f>
        <v>94.751425</v>
      </c>
      <c r="F10" s="43" t="n">
        <f aca="false">F7-F9</f>
        <v>129.89783875</v>
      </c>
      <c r="G10" s="43" t="n">
        <f aca="false">G7-G9</f>
        <v>151.76964112</v>
      </c>
      <c r="H10" s="43" t="n">
        <f aca="false">H7-H9</f>
        <v>158.6805863248</v>
      </c>
      <c r="I10" s="43" t="n">
        <f aca="false">I7-I9</f>
        <v>176.993777757369</v>
      </c>
      <c r="J10" s="43" t="n">
        <f aca="false">J7-J9</f>
        <v>184.585879589128</v>
      </c>
      <c r="K10" s="43" t="n">
        <f aca="false">K7-K9</f>
        <v>192.404152786534</v>
      </c>
      <c r="L10" s="43" t="n">
        <f aca="false">L7-L9</f>
        <v>200.45325469021</v>
      </c>
      <c r="M10" s="43" t="n">
        <f aca="false">M7-M9</f>
        <v>208.737778625986</v>
      </c>
    </row>
    <row r="11" customFormat="false" ht="15" hidden="false" customHeight="false" outlineLevel="0" collapsed="false">
      <c r="A11" s="26" t="s">
        <v>187</v>
      </c>
      <c r="B11" s="36" t="s">
        <v>55</v>
      </c>
      <c r="D11" s="37" t="n">
        <f aca="false">Loan!D8</f>
        <v>48.63285</v>
      </c>
      <c r="E11" s="37" t="n">
        <f aca="false">Loan!E8</f>
        <v>48.63285</v>
      </c>
      <c r="F11" s="37" t="n">
        <f aca="false">Loan!F8</f>
        <v>48.63285</v>
      </c>
      <c r="G11" s="37" t="n">
        <f aca="false">Loan!G8</f>
        <v>41.6853</v>
      </c>
      <c r="H11" s="37" t="n">
        <f aca="false">Loan!H8</f>
        <v>34.73775</v>
      </c>
      <c r="I11" s="37" t="n">
        <f aca="false">Loan!I8</f>
        <v>27.7902</v>
      </c>
      <c r="J11" s="37" t="n">
        <f aca="false">Loan!J8</f>
        <v>20.84265</v>
      </c>
      <c r="K11" s="37" t="n">
        <f aca="false">Loan!K8</f>
        <v>13.8951</v>
      </c>
      <c r="L11" s="37" t="n">
        <f aca="false">Loan!L8</f>
        <v>6.94755</v>
      </c>
      <c r="M11" s="37" t="n">
        <f aca="false">Loan!M8</f>
        <v>0</v>
      </c>
    </row>
    <row r="12" customFormat="false" ht="15" hidden="false" customHeight="false" outlineLevel="0" collapsed="false">
      <c r="A12" s="9" t="s">
        <v>188</v>
      </c>
      <c r="B12" s="36" t="s">
        <v>55</v>
      </c>
      <c r="D12" s="38" t="n">
        <f aca="false">D10-D11</f>
        <v>13.31685</v>
      </c>
      <c r="E12" s="38" t="n">
        <f aca="false">E10-E11</f>
        <v>46.118575</v>
      </c>
      <c r="F12" s="38" t="n">
        <f aca="false">F10-F11</f>
        <v>81.26498875</v>
      </c>
      <c r="G12" s="38" t="n">
        <f aca="false">G10-G11</f>
        <v>110.08434112</v>
      </c>
      <c r="H12" s="38" t="n">
        <f aca="false">H10-H11</f>
        <v>123.9428363248</v>
      </c>
      <c r="I12" s="38" t="n">
        <f aca="false">I10-I11</f>
        <v>149.203577757369</v>
      </c>
      <c r="J12" s="38" t="n">
        <f aca="false">J10-J11</f>
        <v>163.743229589128</v>
      </c>
      <c r="K12" s="38" t="n">
        <f aca="false">K10-K11</f>
        <v>178.509052786534</v>
      </c>
      <c r="L12" s="38" t="n">
        <f aca="false">L10-L11</f>
        <v>193.50570469021</v>
      </c>
      <c r="M12" s="38" t="n">
        <f aca="false">M10-M11</f>
        <v>208.737778625986</v>
      </c>
    </row>
    <row r="13" customFormat="false" ht="15" hidden="false" customHeight="false" outlineLevel="0" collapsed="false">
      <c r="A13" s="26" t="s">
        <v>189</v>
      </c>
      <c r="B13" s="36" t="s">
        <v>55</v>
      </c>
      <c r="D13" s="37" t="n">
        <f aca="false">0</f>
        <v>0</v>
      </c>
      <c r="E13" s="37" t="n">
        <f aca="false">D15</f>
        <v>0</v>
      </c>
      <c r="F13" s="37" t="n">
        <f aca="false">E15</f>
        <v>0</v>
      </c>
      <c r="G13" s="37" t="n">
        <f aca="false">F15</f>
        <v>0</v>
      </c>
      <c r="H13" s="37" t="n">
        <f aca="false">G15</f>
        <v>0</v>
      </c>
      <c r="I13" s="37" t="n">
        <f aca="false">H15</f>
        <v>0</v>
      </c>
      <c r="J13" s="37" t="n">
        <f aca="false">I15</f>
        <v>0</v>
      </c>
      <c r="K13" s="37" t="n">
        <f aca="false">J15</f>
        <v>0</v>
      </c>
      <c r="L13" s="37" t="n">
        <f aca="false">K15</f>
        <v>0</v>
      </c>
      <c r="M13" s="37" t="n">
        <f aca="false">L15</f>
        <v>0</v>
      </c>
    </row>
    <row r="14" customFormat="false" ht="15" hidden="false" customHeight="false" outlineLevel="0" collapsed="false">
      <c r="A14" s="26" t="s">
        <v>190</v>
      </c>
      <c r="B14" s="36" t="s">
        <v>55</v>
      </c>
      <c r="D14" s="37" t="n">
        <f aca="false">MAX(0,D12-D13)</f>
        <v>13.31685</v>
      </c>
      <c r="E14" s="37" t="n">
        <f aca="false">MAX(0,E12-E13)</f>
        <v>46.118575</v>
      </c>
      <c r="F14" s="37" t="n">
        <f aca="false">MAX(0,F12-F13)</f>
        <v>81.26498875</v>
      </c>
      <c r="G14" s="37" t="n">
        <f aca="false">MAX(0,G12-G13)</f>
        <v>110.08434112</v>
      </c>
      <c r="H14" s="37" t="n">
        <f aca="false">MAX(0,H12-H13)</f>
        <v>123.9428363248</v>
      </c>
      <c r="I14" s="37" t="n">
        <f aca="false">MAX(0,I12-I13)</f>
        <v>149.203577757369</v>
      </c>
      <c r="J14" s="37" t="n">
        <f aca="false">MAX(0,J12-J13)</f>
        <v>163.743229589128</v>
      </c>
      <c r="K14" s="37" t="n">
        <f aca="false">MAX(0,K12-K13)</f>
        <v>178.509052786534</v>
      </c>
      <c r="L14" s="37" t="n">
        <f aca="false">MAX(0,L12-L13)</f>
        <v>193.50570469021</v>
      </c>
      <c r="M14" s="37" t="n">
        <f aca="false">MAX(0,M12-M13)</f>
        <v>208.737778625986</v>
      </c>
    </row>
    <row r="15" customFormat="false" ht="15" hidden="false" customHeight="false" outlineLevel="0" collapsed="false">
      <c r="A15" s="26" t="s">
        <v>191</v>
      </c>
      <c r="B15" s="36" t="s">
        <v>55</v>
      </c>
      <c r="D15" s="37" t="n">
        <f aca="false">MAX(0,D13-D12)</f>
        <v>0</v>
      </c>
      <c r="E15" s="37" t="n">
        <f aca="false">MAX(0,E13-E12)</f>
        <v>0</v>
      </c>
      <c r="F15" s="37" t="n">
        <f aca="false">MAX(0,F13-F12)</f>
        <v>0</v>
      </c>
      <c r="G15" s="37" t="n">
        <f aca="false">MAX(0,G13-G12)</f>
        <v>0</v>
      </c>
      <c r="H15" s="37" t="n">
        <f aca="false">MAX(0,H13-H12)</f>
        <v>0</v>
      </c>
      <c r="I15" s="37" t="n">
        <f aca="false">MAX(0,I13-I12)</f>
        <v>0</v>
      </c>
      <c r="J15" s="37" t="n">
        <f aca="false">MAX(0,J13-J12)</f>
        <v>0</v>
      </c>
      <c r="K15" s="37" t="n">
        <f aca="false">MAX(0,K13-K12)</f>
        <v>0</v>
      </c>
      <c r="L15" s="37" t="n">
        <f aca="false">MAX(0,L13-L12)</f>
        <v>0</v>
      </c>
      <c r="M15" s="37" t="n">
        <f aca="false">MAX(0,M13-M12)</f>
        <v>0</v>
      </c>
    </row>
    <row r="16" customFormat="false" ht="15" hidden="false" customHeight="false" outlineLevel="0" collapsed="false">
      <c r="A16" s="26" t="s">
        <v>192</v>
      </c>
      <c r="B16" s="36" t="s">
        <v>55</v>
      </c>
      <c r="D16" s="37" t="n">
        <f aca="false">D14*Inputs!$C$44</f>
        <v>3.351851145</v>
      </c>
      <c r="E16" s="37" t="n">
        <f aca="false">E14*Inputs!$C$44</f>
        <v>11.6080453275</v>
      </c>
      <c r="F16" s="37" t="n">
        <f aca="false">F14*Inputs!$C$44</f>
        <v>20.454397668375</v>
      </c>
      <c r="G16" s="37" t="n">
        <f aca="false">G14*Inputs!$C$44</f>
        <v>27.708228659904</v>
      </c>
      <c r="H16" s="37" t="n">
        <f aca="false">H14*Inputs!$C$44</f>
        <v>31.1964119029522</v>
      </c>
      <c r="I16" s="37" t="n">
        <f aca="false">I14*Inputs!$C$44</f>
        <v>37.5545405215299</v>
      </c>
      <c r="J16" s="37" t="n">
        <f aca="false">J14*Inputs!$C$44</f>
        <v>41.2141708875836</v>
      </c>
      <c r="K16" s="37" t="n">
        <f aca="false">K14*Inputs!$C$44</f>
        <v>44.9307285863706</v>
      </c>
      <c r="L16" s="37" t="n">
        <f aca="false">L14*Inputs!$C$44</f>
        <v>48.7053858705258</v>
      </c>
      <c r="M16" s="37" t="n">
        <f aca="false">M14*Inputs!$C$44</f>
        <v>52.5392988801606</v>
      </c>
    </row>
    <row r="17" customFormat="false" ht="15" hidden="false" customHeight="false" outlineLevel="0" collapsed="false">
      <c r="A17" s="9" t="s">
        <v>193</v>
      </c>
      <c r="B17" s="36" t="s">
        <v>55</v>
      </c>
      <c r="D17" s="38" t="n">
        <f aca="false">D12-D16</f>
        <v>9.964998855</v>
      </c>
      <c r="E17" s="38" t="n">
        <f aca="false">E12-E16</f>
        <v>34.5105296725</v>
      </c>
      <c r="F17" s="38" t="n">
        <f aca="false">F12-F16</f>
        <v>60.810591081625</v>
      </c>
      <c r="G17" s="38" t="n">
        <f aca="false">G12-G16</f>
        <v>82.376112460096</v>
      </c>
      <c r="H17" s="38" t="n">
        <f aca="false">H12-H16</f>
        <v>92.7464244218479</v>
      </c>
      <c r="I17" s="38" t="n">
        <f aca="false">I12-I16</f>
        <v>111.649037235839</v>
      </c>
      <c r="J17" s="38" t="n">
        <f aca="false">J12-J16</f>
        <v>122.529058701545</v>
      </c>
      <c r="K17" s="38" t="n">
        <f aca="false">K12-K16</f>
        <v>133.578324200163</v>
      </c>
      <c r="L17" s="38" t="n">
        <f aca="false">L12-L16</f>
        <v>144.800318819684</v>
      </c>
      <c r="M17" s="38" t="n">
        <f aca="false">M12-M16</f>
        <v>156.198479745825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68"/>
    <pageSetUpPr fitToPage="tru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0"/>
    <col collapsed="false" customWidth="true" hidden="false" outlineLevel="0" max="13" min="3" style="0" width="11.5"/>
  </cols>
  <sheetData>
    <row r="1" customFormat="false" ht="17.35" hidden="false" customHeight="false" outlineLevel="0" collapsed="false">
      <c r="A1" s="20" t="s">
        <v>194</v>
      </c>
    </row>
    <row r="2" customFormat="false" ht="15" hidden="false" customHeight="false" outlineLevel="0" collapsed="false">
      <c r="A2" s="35" t="s">
        <v>123</v>
      </c>
    </row>
    <row r="3" customFormat="false" ht="15" hidden="false" customHeight="false" outlineLevel="0" collapsed="false">
      <c r="A3" s="4" t="s">
        <v>124</v>
      </c>
      <c r="B3" s="4" t="s">
        <v>50</v>
      </c>
      <c r="C3" s="6" t="s">
        <v>125</v>
      </c>
      <c r="D3" s="6" t="s">
        <v>126</v>
      </c>
      <c r="E3" s="6" t="s">
        <v>127</v>
      </c>
      <c r="F3" s="6" t="s">
        <v>128</v>
      </c>
      <c r="G3" s="6" t="s">
        <v>129</v>
      </c>
      <c r="H3" s="6" t="s">
        <v>130</v>
      </c>
      <c r="I3" s="6" t="s">
        <v>131</v>
      </c>
      <c r="J3" s="6" t="s">
        <v>132</v>
      </c>
      <c r="K3" s="6" t="s">
        <v>133</v>
      </c>
      <c r="L3" s="6" t="s">
        <v>134</v>
      </c>
      <c r="M3" s="6" t="s">
        <v>135</v>
      </c>
    </row>
    <row r="4" customFormat="false" ht="15" hidden="false" customHeight="false" outlineLevel="0" collapsed="false">
      <c r="A4" s="24" t="s">
        <v>195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customFormat="false" ht="15" hidden="false" customHeight="false" outlineLevel="0" collapsed="false">
      <c r="A5" s="26" t="s">
        <v>193</v>
      </c>
      <c r="B5" s="36" t="s">
        <v>55</v>
      </c>
      <c r="C5" s="37" t="n">
        <f aca="false">0</f>
        <v>0</v>
      </c>
      <c r="D5" s="37" t="n">
        <f aca="false">PnL!D17</f>
        <v>9.964998855</v>
      </c>
      <c r="E5" s="37" t="n">
        <f aca="false">PnL!E17</f>
        <v>34.5105296725</v>
      </c>
      <c r="F5" s="37" t="n">
        <f aca="false">PnL!F17</f>
        <v>60.810591081625</v>
      </c>
      <c r="G5" s="37" t="n">
        <f aca="false">PnL!G17</f>
        <v>82.376112460096</v>
      </c>
      <c r="H5" s="37" t="n">
        <f aca="false">PnL!H17</f>
        <v>92.7464244218479</v>
      </c>
      <c r="I5" s="37" t="n">
        <f aca="false">PnL!I17</f>
        <v>111.649037235839</v>
      </c>
      <c r="J5" s="37" t="n">
        <f aca="false">PnL!J17</f>
        <v>122.529058701545</v>
      </c>
      <c r="K5" s="37" t="n">
        <f aca="false">PnL!K17</f>
        <v>133.578324200163</v>
      </c>
      <c r="L5" s="37" t="n">
        <f aca="false">PnL!L17</f>
        <v>144.800318819684</v>
      </c>
      <c r="M5" s="37" t="n">
        <f aca="false">PnL!M17</f>
        <v>156.198479745825</v>
      </c>
    </row>
    <row r="6" customFormat="false" ht="15" hidden="false" customHeight="false" outlineLevel="0" collapsed="false">
      <c r="A6" s="26" t="s">
        <v>196</v>
      </c>
      <c r="B6" s="36" t="s">
        <v>55</v>
      </c>
      <c r="C6" s="37" t="n">
        <f aca="false">0</f>
        <v>0</v>
      </c>
      <c r="D6" s="37" t="n">
        <f aca="false">Revenue_Costs!D29</f>
        <v>42.48</v>
      </c>
      <c r="E6" s="37" t="n">
        <f aca="false">Revenue_Costs!E29</f>
        <v>42.48</v>
      </c>
      <c r="F6" s="37" t="n">
        <f aca="false">Revenue_Costs!F29</f>
        <v>42.48</v>
      </c>
      <c r="G6" s="37" t="n">
        <f aca="false">Revenue_Costs!G29</f>
        <v>42.48</v>
      </c>
      <c r="H6" s="37" t="n">
        <f aca="false">Revenue_Costs!H29</f>
        <v>42.48</v>
      </c>
      <c r="I6" s="37" t="n">
        <f aca="false">Revenue_Costs!I29</f>
        <v>38.08</v>
      </c>
      <c r="J6" s="37" t="n">
        <f aca="false">Revenue_Costs!J29</f>
        <v>38.08</v>
      </c>
      <c r="K6" s="37" t="n">
        <f aca="false">Revenue_Costs!K29</f>
        <v>38.08</v>
      </c>
      <c r="L6" s="37" t="n">
        <f aca="false">Revenue_Costs!L29</f>
        <v>38.08</v>
      </c>
      <c r="M6" s="37" t="n">
        <f aca="false">Revenue_Costs!M29</f>
        <v>38.08</v>
      </c>
    </row>
    <row r="7" customFormat="false" ht="15" hidden="false" customHeight="false" outlineLevel="0" collapsed="false">
      <c r="A7" s="26" t="s">
        <v>197</v>
      </c>
      <c r="B7" s="36" t="s">
        <v>55</v>
      </c>
      <c r="C7" s="37" t="n">
        <f aca="false">0</f>
        <v>0</v>
      </c>
      <c r="D7" s="37" t="n">
        <f aca="false">-(Revenue_Costs!D33-Revenue_Costs!C33)</f>
        <v>-22.3767123287671</v>
      </c>
      <c r="E7" s="37" t="n">
        <f aca="false">-(Revenue_Costs!E33-Revenue_Costs!D33)</f>
        <v>-5.12630136986302</v>
      </c>
      <c r="F7" s="37" t="n">
        <f aca="false">-(Revenue_Costs!F33-Revenue_Costs!E33)</f>
        <v>-5.50060273972603</v>
      </c>
      <c r="G7" s="37" t="n">
        <f aca="false">-(Revenue_Costs!G33-Revenue_Costs!F33)</f>
        <v>-3.60839539726027</v>
      </c>
      <c r="H7" s="37" t="n">
        <f aca="false">-(Revenue_Costs!H33-Revenue_Costs!G33)</f>
        <v>-1.46448047342466</v>
      </c>
      <c r="I7" s="37" t="n">
        <f aca="false">-(Revenue_Costs!I33-Revenue_Costs!H33)</f>
        <v>-2.51304849239672</v>
      </c>
      <c r="J7" s="37" t="n">
        <f aca="false">-(Revenue_Costs!J33-Revenue_Costs!I33)</f>
        <v>-1.62358163205752</v>
      </c>
      <c r="K7" s="37" t="n">
        <f aca="false">-(Revenue_Costs!K33-Revenue_Costs!J33)</f>
        <v>-1.68852489733982</v>
      </c>
      <c r="L7" s="37" t="n">
        <f aca="false">-(Revenue_Costs!L33-Revenue_Costs!K33)</f>
        <v>-1.75606589323341</v>
      </c>
      <c r="M7" s="37" t="n">
        <f aca="false">-(Revenue_Costs!M33-Revenue_Costs!L33)</f>
        <v>-1.82630852896274</v>
      </c>
    </row>
    <row r="8" customFormat="false" ht="15" hidden="false" customHeight="false" outlineLevel="0" collapsed="false">
      <c r="A8" s="26" t="s">
        <v>198</v>
      </c>
      <c r="B8" s="36" t="s">
        <v>55</v>
      </c>
      <c r="C8" s="37" t="n">
        <f aca="false">0</f>
        <v>0</v>
      </c>
      <c r="D8" s="37" t="n">
        <f aca="false">Revenue_Costs!D34-Revenue_Costs!C34</f>
        <v>6.33454520547945</v>
      </c>
      <c r="E8" s="37" t="n">
        <f aca="false">Revenue_Costs!E34-Revenue_Costs!D34</f>
        <v>0.721502054794522</v>
      </c>
      <c r="F8" s="37" t="n">
        <f aca="false">Revenue_Costs!F34-Revenue_Costs!E34</f>
        <v>0.778322157534246</v>
      </c>
      <c r="G8" s="37" t="n">
        <f aca="false">Revenue_Costs!G34-Revenue_Costs!F34</f>
        <v>0.607914544931508</v>
      </c>
      <c r="H8" s="37" t="n">
        <f aca="false">Revenue_Costs!H34-Revenue_Costs!G34</f>
        <v>0.408297422071232</v>
      </c>
      <c r="I8" s="37" t="n">
        <f aca="false">Revenue_Costs!I34-Revenue_Costs!H34</f>
        <v>0.531815680838689</v>
      </c>
      <c r="J8" s="37" t="n">
        <f aca="false">Revenue_Costs!J34-Revenue_Costs!I34</f>
        <v>0.458379384971401</v>
      </c>
      <c r="K8" s="37" t="n">
        <f aca="false">Revenue_Costs!K34-Revenue_Costs!J34</f>
        <v>0.483085467846156</v>
      </c>
      <c r="L8" s="37" t="n">
        <f aca="false">Revenue_Costs!L34-Revenue_Costs!K34</f>
        <v>0.509140576008747</v>
      </c>
      <c r="M8" s="37" t="n">
        <f aca="false">Revenue_Costs!M34-Revenue_Costs!L34</f>
        <v>0.536619243765276</v>
      </c>
    </row>
    <row r="9" customFormat="false" ht="15" hidden="false" customHeight="false" outlineLevel="0" collapsed="false">
      <c r="A9" s="9" t="s">
        <v>199</v>
      </c>
      <c r="B9" s="36" t="s">
        <v>55</v>
      </c>
      <c r="C9" s="38" t="n">
        <f aca="false">SUM(C5:C8)</f>
        <v>0</v>
      </c>
      <c r="D9" s="38" t="n">
        <f aca="false">SUM(D5:D8)</f>
        <v>36.4028317317123</v>
      </c>
      <c r="E9" s="38" t="n">
        <f aca="false">SUM(E5:E8)</f>
        <v>72.5857303574315</v>
      </c>
      <c r="F9" s="38" t="n">
        <f aca="false">SUM(F5:F8)</f>
        <v>98.5683104994332</v>
      </c>
      <c r="G9" s="38" t="n">
        <f aca="false">SUM(G5:G8)</f>
        <v>121.855631607767</v>
      </c>
      <c r="H9" s="38" t="n">
        <f aca="false">SUM(H5:H8)</f>
        <v>134.170241370494</v>
      </c>
      <c r="I9" s="38" t="n">
        <f aca="false">SUM(I5:I8)</f>
        <v>147.747804424281</v>
      </c>
      <c r="J9" s="38" t="n">
        <f aca="false">SUM(J5:J8)</f>
        <v>159.443856454459</v>
      </c>
      <c r="K9" s="38" t="n">
        <f aca="false">SUM(K5:K8)</f>
        <v>170.45288477067</v>
      </c>
      <c r="L9" s="38" t="n">
        <f aca="false">SUM(L5:L8)</f>
        <v>181.633393502459</v>
      </c>
      <c r="M9" s="38" t="n">
        <f aca="false">SUM(M5:M8)</f>
        <v>192.988790460628</v>
      </c>
    </row>
    <row r="10" customFormat="false" ht="15" hidden="false" customHeight="false" outlineLevel="0" collapsed="false">
      <c r="A10" s="26" t="s">
        <v>200</v>
      </c>
      <c r="B10" s="36" t="s">
        <v>55</v>
      </c>
      <c r="C10" s="37" t="n">
        <f aca="false">-Capex_Funding!C14</f>
        <v>-753.95</v>
      </c>
      <c r="D10" s="37" t="n">
        <f aca="false">0</f>
        <v>0</v>
      </c>
      <c r="E10" s="37" t="n">
        <f aca="false">0</f>
        <v>0</v>
      </c>
      <c r="F10" s="37" t="n">
        <f aca="false">0</f>
        <v>0</v>
      </c>
      <c r="G10" s="37" t="n">
        <f aca="false">0</f>
        <v>0</v>
      </c>
      <c r="H10" s="37" t="n">
        <f aca="false">0</f>
        <v>0</v>
      </c>
      <c r="I10" s="37" t="n">
        <f aca="false">0</f>
        <v>0</v>
      </c>
      <c r="J10" s="37" t="n">
        <f aca="false">0</f>
        <v>0</v>
      </c>
      <c r="K10" s="37" t="n">
        <f aca="false">0</f>
        <v>0</v>
      </c>
      <c r="L10" s="37" t="n">
        <f aca="false">0</f>
        <v>0</v>
      </c>
      <c r="M10" s="37" t="n">
        <f aca="false">0</f>
        <v>0</v>
      </c>
    </row>
    <row r="11" customFormat="false" ht="15" hidden="false" customHeight="false" outlineLevel="0" collapsed="false">
      <c r="A11" s="9" t="s">
        <v>201</v>
      </c>
      <c r="B11" s="36" t="s">
        <v>55</v>
      </c>
      <c r="C11" s="43" t="n">
        <f aca="false">C10</f>
        <v>-753.95</v>
      </c>
      <c r="D11" s="43" t="n">
        <f aca="false">D10</f>
        <v>0</v>
      </c>
      <c r="E11" s="43" t="n">
        <f aca="false">E10</f>
        <v>0</v>
      </c>
      <c r="F11" s="43" t="n">
        <f aca="false">F10</f>
        <v>0</v>
      </c>
      <c r="G11" s="43" t="n">
        <f aca="false">G10</f>
        <v>0</v>
      </c>
      <c r="H11" s="43" t="n">
        <f aca="false">H10</f>
        <v>0</v>
      </c>
      <c r="I11" s="43" t="n">
        <f aca="false">I10</f>
        <v>0</v>
      </c>
      <c r="J11" s="43" t="n">
        <f aca="false">J10</f>
        <v>0</v>
      </c>
      <c r="K11" s="43" t="n">
        <f aca="false">K10</f>
        <v>0</v>
      </c>
      <c r="L11" s="43" t="n">
        <f aca="false">L10</f>
        <v>0</v>
      </c>
      <c r="M11" s="43" t="n">
        <f aca="false">M10</f>
        <v>0</v>
      </c>
    </row>
    <row r="12" customFormat="false" ht="15" hidden="false" customHeight="false" outlineLevel="0" collapsed="false">
      <c r="A12" s="26" t="s">
        <v>202</v>
      </c>
      <c r="B12" s="36" t="s">
        <v>55</v>
      </c>
      <c r="C12" s="37" t="n">
        <f aca="false">Capex_Funding!C20</f>
        <v>308.78</v>
      </c>
      <c r="D12" s="37" t="n">
        <f aca="false">0</f>
        <v>0</v>
      </c>
      <c r="E12" s="37" t="n">
        <f aca="false">0</f>
        <v>0</v>
      </c>
      <c r="F12" s="37" t="n">
        <f aca="false">0</f>
        <v>0</v>
      </c>
      <c r="G12" s="37" t="n">
        <f aca="false">0</f>
        <v>0</v>
      </c>
      <c r="H12" s="37" t="n">
        <f aca="false">0</f>
        <v>0</v>
      </c>
      <c r="I12" s="37" t="n">
        <f aca="false">0</f>
        <v>0</v>
      </c>
      <c r="J12" s="37" t="n">
        <f aca="false">0</f>
        <v>0</v>
      </c>
      <c r="K12" s="37" t="n">
        <f aca="false">0</f>
        <v>0</v>
      </c>
      <c r="L12" s="37" t="n">
        <f aca="false">0</f>
        <v>0</v>
      </c>
      <c r="M12" s="37" t="n">
        <f aca="false">0</f>
        <v>0</v>
      </c>
    </row>
    <row r="13" customFormat="false" ht="15" hidden="false" customHeight="false" outlineLevel="0" collapsed="false">
      <c r="A13" s="26" t="s">
        <v>203</v>
      </c>
      <c r="B13" s="36" t="s">
        <v>55</v>
      </c>
      <c r="C13" s="37" t="n">
        <f aca="false">Loan!C6</f>
        <v>463.17</v>
      </c>
      <c r="D13" s="37" t="n">
        <f aca="false">Loan!D6</f>
        <v>0</v>
      </c>
      <c r="E13" s="37" t="n">
        <f aca="false">Loan!E6</f>
        <v>0</v>
      </c>
      <c r="F13" s="37" t="n">
        <f aca="false">Loan!F6</f>
        <v>0</v>
      </c>
      <c r="G13" s="37" t="n">
        <f aca="false">Loan!G6</f>
        <v>0</v>
      </c>
      <c r="H13" s="37" t="n">
        <f aca="false">Loan!H6</f>
        <v>0</v>
      </c>
      <c r="I13" s="37" t="n">
        <f aca="false">Loan!I6</f>
        <v>0</v>
      </c>
      <c r="J13" s="37" t="n">
        <f aca="false">Loan!J6</f>
        <v>0</v>
      </c>
      <c r="K13" s="37" t="n">
        <f aca="false">Loan!K6</f>
        <v>0</v>
      </c>
      <c r="L13" s="37" t="n">
        <f aca="false">Loan!L6</f>
        <v>0</v>
      </c>
      <c r="M13" s="37" t="n">
        <f aca="false">Loan!M6</f>
        <v>0</v>
      </c>
    </row>
    <row r="14" customFormat="false" ht="15" hidden="false" customHeight="false" outlineLevel="0" collapsed="false">
      <c r="A14" s="26" t="s">
        <v>204</v>
      </c>
      <c r="B14" s="36" t="s">
        <v>55</v>
      </c>
      <c r="C14" s="37" t="n">
        <f aca="false">-Loan!C9</f>
        <v>-0</v>
      </c>
      <c r="D14" s="37" t="n">
        <f aca="false">-Loan!D9</f>
        <v>-0</v>
      </c>
      <c r="E14" s="37" t="n">
        <f aca="false">-Loan!E9</f>
        <v>-0</v>
      </c>
      <c r="F14" s="37" t="n">
        <f aca="false">-Loan!F9</f>
        <v>-66.1671428571429</v>
      </c>
      <c r="G14" s="37" t="n">
        <f aca="false">-Loan!G9</f>
        <v>-66.1671428571429</v>
      </c>
      <c r="H14" s="37" t="n">
        <f aca="false">-Loan!H9</f>
        <v>-66.1671428571429</v>
      </c>
      <c r="I14" s="37" t="n">
        <f aca="false">-Loan!I9</f>
        <v>-66.1671428571429</v>
      </c>
      <c r="J14" s="37" t="n">
        <f aca="false">-Loan!J9</f>
        <v>-66.1671428571429</v>
      </c>
      <c r="K14" s="37" t="n">
        <f aca="false">-Loan!K9</f>
        <v>-66.1671428571429</v>
      </c>
      <c r="L14" s="37" t="n">
        <f aca="false">-Loan!L9</f>
        <v>-66.1671428571429</v>
      </c>
      <c r="M14" s="37" t="n">
        <f aca="false">-Loan!M9</f>
        <v>-0</v>
      </c>
    </row>
    <row r="15" customFormat="false" ht="15" hidden="false" customHeight="false" outlineLevel="0" collapsed="false">
      <c r="A15" s="9" t="s">
        <v>205</v>
      </c>
      <c r="B15" s="36" t="s">
        <v>55</v>
      </c>
      <c r="C15" s="38" t="n">
        <f aca="false">SUM(C12:C14)</f>
        <v>771.95</v>
      </c>
      <c r="D15" s="38" t="n">
        <f aca="false">SUM(D12:D14)</f>
        <v>0</v>
      </c>
      <c r="E15" s="38" t="n">
        <f aca="false">SUM(E12:E14)</f>
        <v>0</v>
      </c>
      <c r="F15" s="38" t="n">
        <f aca="false">SUM(F12:F14)</f>
        <v>-66.1671428571429</v>
      </c>
      <c r="G15" s="38" t="n">
        <f aca="false">SUM(G12:G14)</f>
        <v>-66.1671428571429</v>
      </c>
      <c r="H15" s="38" t="n">
        <f aca="false">SUM(H12:H14)</f>
        <v>-66.1671428571429</v>
      </c>
      <c r="I15" s="38" t="n">
        <f aca="false">SUM(I12:I14)</f>
        <v>-66.1671428571429</v>
      </c>
      <c r="J15" s="38" t="n">
        <f aca="false">SUM(J12:J14)</f>
        <v>-66.1671428571429</v>
      </c>
      <c r="K15" s="38" t="n">
        <f aca="false">SUM(K12:K14)</f>
        <v>-66.1671428571429</v>
      </c>
      <c r="L15" s="38" t="n">
        <f aca="false">SUM(L12:L14)</f>
        <v>-66.1671428571429</v>
      </c>
      <c r="M15" s="38" t="n">
        <f aca="false">SUM(M12:M14)</f>
        <v>0</v>
      </c>
    </row>
    <row r="16" customFormat="false" ht="15" hidden="false" customHeight="false" outlineLevel="0" collapsed="false">
      <c r="A16" s="9" t="s">
        <v>206</v>
      </c>
      <c r="B16" s="36" t="s">
        <v>55</v>
      </c>
      <c r="C16" s="43" t="n">
        <f aca="false">C9+C11+C15</f>
        <v>18</v>
      </c>
      <c r="D16" s="43" t="n">
        <f aca="false">D9+D11+D15</f>
        <v>36.4028317317123</v>
      </c>
      <c r="E16" s="43" t="n">
        <f aca="false">E9+E11+E15</f>
        <v>72.5857303574315</v>
      </c>
      <c r="F16" s="43" t="n">
        <f aca="false">F9+F11+F15</f>
        <v>32.4011676422904</v>
      </c>
      <c r="G16" s="43" t="n">
        <f aca="false">G9+G11+G15</f>
        <v>55.6884887506244</v>
      </c>
      <c r="H16" s="43" t="n">
        <f aca="false">H9+H11+H15</f>
        <v>68.0030985133516</v>
      </c>
      <c r="I16" s="43" t="n">
        <f aca="false">I9+I11+I15</f>
        <v>81.5806615671386</v>
      </c>
      <c r="J16" s="43" t="n">
        <f aca="false">J9+J11+J15</f>
        <v>93.2767135973157</v>
      </c>
      <c r="K16" s="43" t="n">
        <f aca="false">K9+K11+K15</f>
        <v>104.285741913527</v>
      </c>
      <c r="L16" s="43" t="n">
        <f aca="false">L9+L11+L15</f>
        <v>115.466250645316</v>
      </c>
      <c r="M16" s="43" t="n">
        <f aca="false">M9+M11+M15</f>
        <v>192.988790460628</v>
      </c>
    </row>
    <row r="17" customFormat="false" ht="15" hidden="false" customHeight="false" outlineLevel="0" collapsed="false">
      <c r="A17" s="26" t="s">
        <v>207</v>
      </c>
      <c r="B17" s="36" t="s">
        <v>55</v>
      </c>
      <c r="C17" s="37" t="n">
        <f aca="false">0</f>
        <v>0</v>
      </c>
      <c r="D17" s="37" t="n">
        <f aca="false">C18</f>
        <v>18</v>
      </c>
      <c r="E17" s="37" t="n">
        <f aca="false">D18</f>
        <v>54.4028317317123</v>
      </c>
      <c r="F17" s="37" t="n">
        <f aca="false">E18</f>
        <v>126.988562089144</v>
      </c>
      <c r="G17" s="37" t="n">
        <f aca="false">F18</f>
        <v>159.389729731434</v>
      </c>
      <c r="H17" s="37" t="n">
        <f aca="false">G18</f>
        <v>215.078218482059</v>
      </c>
      <c r="I17" s="37" t="n">
        <f aca="false">H18</f>
        <v>283.08131699541</v>
      </c>
      <c r="J17" s="37" t="n">
        <f aca="false">I18</f>
        <v>364.661978562549</v>
      </c>
      <c r="K17" s="37" t="n">
        <f aca="false">J18</f>
        <v>457.938692159864</v>
      </c>
      <c r="L17" s="37" t="n">
        <f aca="false">K18</f>
        <v>562.224434073391</v>
      </c>
      <c r="M17" s="37" t="n">
        <f aca="false">L18</f>
        <v>677.690684718708</v>
      </c>
    </row>
    <row r="18" customFormat="false" ht="15" hidden="false" customHeight="false" outlineLevel="0" collapsed="false">
      <c r="A18" s="9" t="s">
        <v>28</v>
      </c>
      <c r="B18" s="36" t="s">
        <v>55</v>
      </c>
      <c r="C18" s="38" t="n">
        <f aca="false">C17+C16</f>
        <v>18</v>
      </c>
      <c r="D18" s="38" t="n">
        <f aca="false">D17+D16</f>
        <v>54.4028317317123</v>
      </c>
      <c r="E18" s="38" t="n">
        <f aca="false">E17+E16</f>
        <v>126.988562089144</v>
      </c>
      <c r="F18" s="38" t="n">
        <f aca="false">F17+F16</f>
        <v>159.389729731434</v>
      </c>
      <c r="G18" s="38" t="n">
        <f aca="false">G17+G16</f>
        <v>215.078218482059</v>
      </c>
      <c r="H18" s="38" t="n">
        <f aca="false">H17+H16</f>
        <v>283.08131699541</v>
      </c>
      <c r="I18" s="38" t="n">
        <f aca="false">I17+I16</f>
        <v>364.661978562549</v>
      </c>
      <c r="J18" s="38" t="n">
        <f aca="false">J17+J16</f>
        <v>457.938692159864</v>
      </c>
      <c r="K18" s="38" t="n">
        <f aca="false">K17+K16</f>
        <v>562.224434073391</v>
      </c>
      <c r="L18" s="38" t="n">
        <f aca="false">L17+L16</f>
        <v>677.690684718708</v>
      </c>
      <c r="M18" s="38" t="n">
        <f aca="false">M17+M16</f>
        <v>870.679475179335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68"/>
    <pageSetUpPr fitToPage="tru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0"/>
    <col collapsed="false" customWidth="true" hidden="false" outlineLevel="0" max="13" min="3" style="0" width="11.5"/>
  </cols>
  <sheetData>
    <row r="1" customFormat="false" ht="17.35" hidden="false" customHeight="false" outlineLevel="0" collapsed="false">
      <c r="A1" s="20" t="s">
        <v>208</v>
      </c>
    </row>
    <row r="2" customFormat="false" ht="15" hidden="false" customHeight="false" outlineLevel="0" collapsed="false">
      <c r="A2" s="35" t="s">
        <v>123</v>
      </c>
    </row>
    <row r="3" customFormat="false" ht="15" hidden="false" customHeight="false" outlineLevel="0" collapsed="false">
      <c r="A3" s="4" t="s">
        <v>124</v>
      </c>
      <c r="B3" s="4" t="s">
        <v>50</v>
      </c>
      <c r="C3" s="6" t="s">
        <v>125</v>
      </c>
      <c r="D3" s="6" t="s">
        <v>126</v>
      </c>
      <c r="E3" s="6" t="s">
        <v>127</v>
      </c>
      <c r="F3" s="6" t="s">
        <v>128</v>
      </c>
      <c r="G3" s="6" t="s">
        <v>129</v>
      </c>
      <c r="H3" s="6" t="s">
        <v>130</v>
      </c>
      <c r="I3" s="6" t="s">
        <v>131</v>
      </c>
      <c r="J3" s="6" t="s">
        <v>132</v>
      </c>
      <c r="K3" s="6" t="s">
        <v>133</v>
      </c>
      <c r="L3" s="6" t="s">
        <v>134</v>
      </c>
      <c r="M3" s="6" t="s">
        <v>135</v>
      </c>
    </row>
    <row r="4" customFormat="false" ht="15" hidden="false" customHeight="false" outlineLevel="0" collapsed="false">
      <c r="A4" s="24" t="s">
        <v>209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customFormat="false" ht="15" hidden="false" customHeight="false" outlineLevel="0" collapsed="false">
      <c r="A5" s="26" t="s">
        <v>210</v>
      </c>
      <c r="B5" s="36" t="s">
        <v>55</v>
      </c>
      <c r="C5" s="37" t="n">
        <f aca="false">Revenue_Costs!C30</f>
        <v>753.95</v>
      </c>
      <c r="D5" s="37" t="n">
        <f aca="false">Revenue_Costs!D30</f>
        <v>711.47</v>
      </c>
      <c r="E5" s="37" t="n">
        <f aca="false">Revenue_Costs!E30</f>
        <v>668.99</v>
      </c>
      <c r="F5" s="37" t="n">
        <f aca="false">Revenue_Costs!F30</f>
        <v>626.51</v>
      </c>
      <c r="G5" s="37" t="n">
        <f aca="false">Revenue_Costs!G30</f>
        <v>584.03</v>
      </c>
      <c r="H5" s="37" t="n">
        <f aca="false">Revenue_Costs!H30</f>
        <v>541.55</v>
      </c>
      <c r="I5" s="37" t="n">
        <f aca="false">Revenue_Costs!I30</f>
        <v>503.47</v>
      </c>
      <c r="J5" s="37" t="n">
        <f aca="false">Revenue_Costs!J30</f>
        <v>465.39</v>
      </c>
      <c r="K5" s="37" t="n">
        <f aca="false">Revenue_Costs!K30</f>
        <v>427.31</v>
      </c>
      <c r="L5" s="37" t="n">
        <f aca="false">Revenue_Costs!L30</f>
        <v>389.23</v>
      </c>
      <c r="M5" s="37" t="n">
        <f aca="false">Revenue_Costs!M30</f>
        <v>351.15</v>
      </c>
    </row>
    <row r="6" customFormat="false" ht="15" hidden="false" customHeight="false" outlineLevel="0" collapsed="false">
      <c r="A6" s="26" t="s">
        <v>171</v>
      </c>
      <c r="B6" s="36" t="s">
        <v>55</v>
      </c>
      <c r="C6" s="37" t="n">
        <f aca="false">Revenue_Costs!C33</f>
        <v>0</v>
      </c>
      <c r="D6" s="37" t="n">
        <f aca="false">Revenue_Costs!D33</f>
        <v>22.3767123287671</v>
      </c>
      <c r="E6" s="37" t="n">
        <f aca="false">Revenue_Costs!E33</f>
        <v>27.5030136986301</v>
      </c>
      <c r="F6" s="37" t="n">
        <f aca="false">Revenue_Costs!F33</f>
        <v>33.0036164383562</v>
      </c>
      <c r="G6" s="37" t="n">
        <f aca="false">Revenue_Costs!G33</f>
        <v>36.6120118356164</v>
      </c>
      <c r="H6" s="37" t="n">
        <f aca="false">Revenue_Costs!H33</f>
        <v>38.0764923090411</v>
      </c>
      <c r="I6" s="37" t="n">
        <f aca="false">Revenue_Costs!I33</f>
        <v>40.5895408014378</v>
      </c>
      <c r="J6" s="37" t="n">
        <f aca="false">Revenue_Costs!J33</f>
        <v>42.2131224334953</v>
      </c>
      <c r="K6" s="37" t="n">
        <f aca="false">Revenue_Costs!K33</f>
        <v>43.9016473308352</v>
      </c>
      <c r="L6" s="37" t="n">
        <f aca="false">Revenue_Costs!L33</f>
        <v>45.6577132240686</v>
      </c>
      <c r="M6" s="37" t="n">
        <f aca="false">Revenue_Costs!M33</f>
        <v>47.4840217530313</v>
      </c>
    </row>
    <row r="7" customFormat="false" ht="15" hidden="false" customHeight="false" outlineLevel="0" collapsed="false">
      <c r="A7" s="26" t="s">
        <v>211</v>
      </c>
      <c r="B7" s="36" t="s">
        <v>55</v>
      </c>
      <c r="C7" s="37" t="n">
        <f aca="false">CashFlow!C18</f>
        <v>18</v>
      </c>
      <c r="D7" s="37" t="n">
        <f aca="false">CashFlow!D18</f>
        <v>54.4028317317123</v>
      </c>
      <c r="E7" s="37" t="n">
        <f aca="false">CashFlow!E18</f>
        <v>126.988562089144</v>
      </c>
      <c r="F7" s="37" t="n">
        <f aca="false">CashFlow!F18</f>
        <v>159.389729731434</v>
      </c>
      <c r="G7" s="37" t="n">
        <f aca="false">CashFlow!G18</f>
        <v>215.078218482059</v>
      </c>
      <c r="H7" s="37" t="n">
        <f aca="false">CashFlow!H18</f>
        <v>283.08131699541</v>
      </c>
      <c r="I7" s="37" t="n">
        <f aca="false">CashFlow!I18</f>
        <v>364.661978562549</v>
      </c>
      <c r="J7" s="37" t="n">
        <f aca="false">CashFlow!J18</f>
        <v>457.938692159864</v>
      </c>
      <c r="K7" s="37" t="n">
        <f aca="false">CashFlow!K18</f>
        <v>562.224434073391</v>
      </c>
      <c r="L7" s="37" t="n">
        <f aca="false">CashFlow!L18</f>
        <v>677.690684718708</v>
      </c>
      <c r="M7" s="37" t="n">
        <f aca="false">CashFlow!M18</f>
        <v>870.679475179335</v>
      </c>
    </row>
    <row r="8" customFormat="false" ht="15" hidden="false" customHeight="false" outlineLevel="0" collapsed="false">
      <c r="A8" s="9" t="s">
        <v>212</v>
      </c>
      <c r="B8" s="36" t="s">
        <v>55</v>
      </c>
      <c r="C8" s="38" t="n">
        <f aca="false">SUM(C5:C7)</f>
        <v>771.95</v>
      </c>
      <c r="D8" s="38" t="n">
        <f aca="false">SUM(D5:D7)</f>
        <v>788.24954406048</v>
      </c>
      <c r="E8" s="38" t="n">
        <f aca="false">SUM(E5:E7)</f>
        <v>823.481575787774</v>
      </c>
      <c r="F8" s="38" t="n">
        <f aca="false">SUM(F5:F7)</f>
        <v>818.90334616979</v>
      </c>
      <c r="G8" s="38" t="n">
        <f aca="false">SUM(G5:G7)</f>
        <v>835.720230317675</v>
      </c>
      <c r="H8" s="38" t="n">
        <f aca="false">SUM(H5:H7)</f>
        <v>862.707809304451</v>
      </c>
      <c r="I8" s="38" t="n">
        <f aca="false">SUM(I5:I7)</f>
        <v>908.721519363987</v>
      </c>
      <c r="J8" s="38" t="n">
        <f aca="false">SUM(J5:J7)</f>
        <v>965.54181459336</v>
      </c>
      <c r="K8" s="38" t="n">
        <f aca="false">SUM(K5:K7)</f>
        <v>1033.43608140423</v>
      </c>
      <c r="L8" s="38" t="n">
        <f aca="false">SUM(L5:L7)</f>
        <v>1112.57839794278</v>
      </c>
      <c r="M8" s="38" t="n">
        <f aca="false">SUM(M5:M7)</f>
        <v>1269.31349693237</v>
      </c>
    </row>
    <row r="9" customFormat="false" ht="15" hidden="false" customHeight="false" outlineLevel="0" collapsed="false">
      <c r="A9" s="26" t="s">
        <v>213</v>
      </c>
      <c r="B9" s="36" t="s">
        <v>55</v>
      </c>
      <c r="C9" s="37" t="n">
        <f aca="false">CashFlow!C12</f>
        <v>308.78</v>
      </c>
      <c r="D9" s="37" t="n">
        <f aca="false">C9+CashFlow!D12</f>
        <v>308.78</v>
      </c>
      <c r="E9" s="37" t="n">
        <f aca="false">D9+CashFlow!E12</f>
        <v>308.78</v>
      </c>
      <c r="F9" s="37" t="n">
        <f aca="false">E9+CashFlow!F12</f>
        <v>308.78</v>
      </c>
      <c r="G9" s="37" t="n">
        <f aca="false">F9+CashFlow!G12</f>
        <v>308.78</v>
      </c>
      <c r="H9" s="37" t="n">
        <f aca="false">G9+CashFlow!H12</f>
        <v>308.78</v>
      </c>
      <c r="I9" s="37" t="n">
        <f aca="false">H9+CashFlow!I12</f>
        <v>308.78</v>
      </c>
      <c r="J9" s="37" t="n">
        <f aca="false">I9+CashFlow!J12</f>
        <v>308.78</v>
      </c>
      <c r="K9" s="37" t="n">
        <f aca="false">J9+CashFlow!K12</f>
        <v>308.78</v>
      </c>
      <c r="L9" s="37" t="n">
        <f aca="false">K9+CashFlow!L12</f>
        <v>308.78</v>
      </c>
      <c r="M9" s="37" t="n">
        <f aca="false">L9+CashFlow!M12</f>
        <v>308.78</v>
      </c>
    </row>
    <row r="10" customFormat="false" ht="15" hidden="false" customHeight="false" outlineLevel="0" collapsed="false">
      <c r="A10" s="26" t="s">
        <v>214</v>
      </c>
      <c r="B10" s="36" t="s">
        <v>55</v>
      </c>
      <c r="C10" s="37" t="n">
        <f aca="false">CashFlow!C5</f>
        <v>0</v>
      </c>
      <c r="D10" s="37" t="n">
        <f aca="false">C10+CashFlow!D5</f>
        <v>9.964998855</v>
      </c>
      <c r="E10" s="37" t="n">
        <f aca="false">D10+CashFlow!E5</f>
        <v>44.4755285275</v>
      </c>
      <c r="F10" s="37" t="n">
        <f aca="false">E10+CashFlow!F5</f>
        <v>105.286119609125</v>
      </c>
      <c r="G10" s="37" t="n">
        <f aca="false">F10+CashFlow!G5</f>
        <v>187.662232069221</v>
      </c>
      <c r="H10" s="37" t="n">
        <f aca="false">G10+CashFlow!H5</f>
        <v>280.408656491069</v>
      </c>
      <c r="I10" s="37" t="n">
        <f aca="false">H10+CashFlow!I5</f>
        <v>392.057693726908</v>
      </c>
      <c r="J10" s="37" t="n">
        <f aca="false">I10+CashFlow!J5</f>
        <v>514.586752428453</v>
      </c>
      <c r="K10" s="37" t="n">
        <f aca="false">J10+CashFlow!K5</f>
        <v>648.165076628616</v>
      </c>
      <c r="L10" s="37" t="n">
        <f aca="false">K10+CashFlow!L5</f>
        <v>792.9653954483</v>
      </c>
      <c r="M10" s="37" t="n">
        <f aca="false">L10+CashFlow!M5</f>
        <v>949.163875194125</v>
      </c>
    </row>
    <row r="11" customFormat="false" ht="15" hidden="false" customHeight="false" outlineLevel="0" collapsed="false">
      <c r="A11" s="26" t="s">
        <v>17</v>
      </c>
      <c r="B11" s="36" t="s">
        <v>55</v>
      </c>
      <c r="C11" s="37" t="n">
        <f aca="false">Loan!C10</f>
        <v>463.17</v>
      </c>
      <c r="D11" s="37" t="n">
        <f aca="false">Loan!D10</f>
        <v>463.17</v>
      </c>
      <c r="E11" s="37" t="n">
        <f aca="false">Loan!E10</f>
        <v>463.17</v>
      </c>
      <c r="F11" s="37" t="n">
        <f aca="false">Loan!F10</f>
        <v>397.002857142857</v>
      </c>
      <c r="G11" s="37" t="n">
        <f aca="false">Loan!G10</f>
        <v>330.835714285714</v>
      </c>
      <c r="H11" s="37" t="n">
        <f aca="false">Loan!H10</f>
        <v>264.668571428571</v>
      </c>
      <c r="I11" s="37" t="n">
        <f aca="false">Loan!I10</f>
        <v>198.501428571429</v>
      </c>
      <c r="J11" s="37" t="n">
        <f aca="false">Loan!J10</f>
        <v>132.334285714286</v>
      </c>
      <c r="K11" s="37" t="n">
        <f aca="false">Loan!K10</f>
        <v>66.1671428571429</v>
      </c>
      <c r="L11" s="37" t="n">
        <f aca="false">Loan!L10</f>
        <v>0</v>
      </c>
      <c r="M11" s="37" t="n">
        <f aca="false">Loan!M10</f>
        <v>0</v>
      </c>
    </row>
    <row r="12" customFormat="false" ht="15" hidden="false" customHeight="false" outlineLevel="0" collapsed="false">
      <c r="A12" s="26" t="s">
        <v>172</v>
      </c>
      <c r="B12" s="36" t="s">
        <v>55</v>
      </c>
      <c r="C12" s="37" t="n">
        <f aca="false">Revenue_Costs!C34</f>
        <v>0</v>
      </c>
      <c r="D12" s="37" t="n">
        <f aca="false">Revenue_Costs!D34</f>
        <v>6.33454520547945</v>
      </c>
      <c r="E12" s="37" t="n">
        <f aca="false">Revenue_Costs!E34</f>
        <v>7.05604726027397</v>
      </c>
      <c r="F12" s="37" t="n">
        <f aca="false">Revenue_Costs!F34</f>
        <v>7.83436941780822</v>
      </c>
      <c r="G12" s="37" t="n">
        <f aca="false">Revenue_Costs!G34</f>
        <v>8.44228396273973</v>
      </c>
      <c r="H12" s="37" t="n">
        <f aca="false">Revenue_Costs!H34</f>
        <v>8.85058138481096</v>
      </c>
      <c r="I12" s="37" t="n">
        <f aca="false">Revenue_Costs!I34</f>
        <v>9.38239706564965</v>
      </c>
      <c r="J12" s="37" t="n">
        <f aca="false">Revenue_Costs!J34</f>
        <v>9.84077645062105</v>
      </c>
      <c r="K12" s="37" t="n">
        <f aca="false">Revenue_Costs!K34</f>
        <v>10.3238619184672</v>
      </c>
      <c r="L12" s="37" t="n">
        <f aca="false">Revenue_Costs!L34</f>
        <v>10.833002494476</v>
      </c>
      <c r="M12" s="37" t="n">
        <f aca="false">Revenue_Costs!M34</f>
        <v>11.3696217382412</v>
      </c>
    </row>
    <row r="13" customFormat="false" ht="15" hidden="false" customHeight="false" outlineLevel="0" collapsed="false">
      <c r="A13" s="9" t="s">
        <v>215</v>
      </c>
      <c r="B13" s="36" t="s">
        <v>55</v>
      </c>
      <c r="C13" s="38" t="n">
        <f aca="false">SUM(C9:C12)</f>
        <v>771.95</v>
      </c>
      <c r="D13" s="38" t="n">
        <f aca="false">SUM(D9:D12)</f>
        <v>788.24954406048</v>
      </c>
      <c r="E13" s="38" t="n">
        <f aca="false">SUM(E9:E12)</f>
        <v>823.481575787774</v>
      </c>
      <c r="F13" s="38" t="n">
        <f aca="false">SUM(F9:F12)</f>
        <v>818.90334616979</v>
      </c>
      <c r="G13" s="38" t="n">
        <f aca="false">SUM(G9:G12)</f>
        <v>835.720230317675</v>
      </c>
      <c r="H13" s="38" t="n">
        <f aca="false">SUM(H9:H12)</f>
        <v>862.707809304451</v>
      </c>
      <c r="I13" s="38" t="n">
        <f aca="false">SUM(I9:I12)</f>
        <v>908.721519363987</v>
      </c>
      <c r="J13" s="38" t="n">
        <f aca="false">SUM(J9:J12)</f>
        <v>965.54181459336</v>
      </c>
      <c r="K13" s="38" t="n">
        <f aca="false">SUM(K9:K12)</f>
        <v>1033.43608140423</v>
      </c>
      <c r="L13" s="38" t="n">
        <f aca="false">SUM(L9:L12)</f>
        <v>1112.57839794278</v>
      </c>
      <c r="M13" s="38" t="n">
        <f aca="false">SUM(M9:M12)</f>
        <v>1269.31349693237</v>
      </c>
    </row>
    <row r="14" customFormat="false" ht="15" hidden="false" customHeight="false" outlineLevel="0" collapsed="false">
      <c r="A14" s="26" t="s">
        <v>216</v>
      </c>
      <c r="B14" s="36" t="s">
        <v>55</v>
      </c>
      <c r="C14" s="37" t="n">
        <f aca="false">ROUND(C8-C13,6)</f>
        <v>0</v>
      </c>
      <c r="D14" s="37" t="n">
        <f aca="false">ROUND(D8-D13,6)</f>
        <v>0</v>
      </c>
      <c r="E14" s="37" t="n">
        <f aca="false">ROUND(E8-E13,6)</f>
        <v>0</v>
      </c>
      <c r="F14" s="37" t="n">
        <f aca="false">ROUND(F8-F13,6)</f>
        <v>0</v>
      </c>
      <c r="G14" s="37" t="n">
        <f aca="false">ROUND(G8-G13,6)</f>
        <v>0</v>
      </c>
      <c r="H14" s="37" t="n">
        <f aca="false">ROUND(H8-H13,6)</f>
        <v>0</v>
      </c>
      <c r="I14" s="37" t="n">
        <f aca="false">ROUND(I8-I13,6)</f>
        <v>0</v>
      </c>
      <c r="J14" s="37" t="n">
        <f aca="false">ROUND(J8-J13,6)</f>
        <v>0</v>
      </c>
      <c r="K14" s="37" t="n">
        <f aca="false">ROUND(K8-K13,6)</f>
        <v>0</v>
      </c>
      <c r="L14" s="37" t="n">
        <f aca="false">ROUND(L8-L13,6)</f>
        <v>0</v>
      </c>
      <c r="M14" s="37" t="n">
        <f aca="false">ROUND(M8-M13,6)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68"/>
    <pageSetUpPr fitToPage="tru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0"/>
    <col collapsed="false" customWidth="true" hidden="false" outlineLevel="0" max="13" min="3" style="0" width="11.5"/>
  </cols>
  <sheetData>
    <row r="1" customFormat="false" ht="17.35" hidden="false" customHeight="false" outlineLevel="0" collapsed="false">
      <c r="A1" s="20" t="s">
        <v>217</v>
      </c>
    </row>
    <row r="2" customFormat="false" ht="15" hidden="false" customHeight="false" outlineLevel="0" collapsed="false">
      <c r="A2" s="35" t="s">
        <v>123</v>
      </c>
    </row>
    <row r="3" customFormat="false" ht="15" hidden="false" customHeight="false" outlineLevel="0" collapsed="false">
      <c r="A3" s="4" t="s">
        <v>124</v>
      </c>
      <c r="B3" s="4" t="s">
        <v>50</v>
      </c>
      <c r="C3" s="6" t="s">
        <v>125</v>
      </c>
      <c r="D3" s="6" t="s">
        <v>126</v>
      </c>
      <c r="E3" s="6" t="s">
        <v>127</v>
      </c>
      <c r="F3" s="6" t="s">
        <v>128</v>
      </c>
      <c r="G3" s="6" t="s">
        <v>129</v>
      </c>
      <c r="H3" s="6" t="s">
        <v>130</v>
      </c>
      <c r="I3" s="6" t="s">
        <v>131</v>
      </c>
      <c r="J3" s="6" t="s">
        <v>132</v>
      </c>
      <c r="K3" s="6" t="s">
        <v>133</v>
      </c>
      <c r="L3" s="6" t="s">
        <v>134</v>
      </c>
      <c r="M3" s="6" t="s">
        <v>135</v>
      </c>
    </row>
    <row r="4" customFormat="false" ht="15" hidden="false" customHeight="false" outlineLevel="0" collapsed="false">
      <c r="A4" s="24" t="s">
        <v>218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customFormat="false" ht="15" hidden="false" customHeight="false" outlineLevel="0" collapsed="false">
      <c r="A5" s="26" t="s">
        <v>219</v>
      </c>
      <c r="B5" s="36" t="s">
        <v>55</v>
      </c>
      <c r="D5" s="37" t="n">
        <f aca="false">PnL!D17+Revenue_Costs!D29+Loan!D8</f>
        <v>101.077848855</v>
      </c>
      <c r="E5" s="37" t="n">
        <f aca="false">PnL!E17+Revenue_Costs!E29+Loan!E8</f>
        <v>125.6233796725</v>
      </c>
      <c r="F5" s="37" t="n">
        <f aca="false">PnL!F17+Revenue_Costs!F29+Loan!F8</f>
        <v>151.923441081625</v>
      </c>
      <c r="G5" s="37" t="n">
        <f aca="false">PnL!G17+Revenue_Costs!G29+Loan!G8</f>
        <v>166.541412460096</v>
      </c>
      <c r="H5" s="37" t="n">
        <f aca="false">PnL!H17+Revenue_Costs!H29+Loan!H8</f>
        <v>169.964174421848</v>
      </c>
      <c r="I5" s="37" t="n">
        <f aca="false">PnL!I17+Revenue_Costs!I29+Loan!I8</f>
        <v>177.519237235839</v>
      </c>
      <c r="J5" s="37" t="n">
        <f aca="false">PnL!J17+Revenue_Costs!J29+Loan!J8</f>
        <v>181.451708701545</v>
      </c>
      <c r="K5" s="37" t="n">
        <f aca="false">PnL!K17+Revenue_Costs!K29+Loan!K8</f>
        <v>185.553424200163</v>
      </c>
      <c r="L5" s="37" t="n">
        <f aca="false">PnL!L17+Revenue_Costs!L29+Loan!L8</f>
        <v>189.827868819684</v>
      </c>
      <c r="M5" s="37" t="n">
        <f aca="false">PnL!M17+Revenue_Costs!M29+Loan!M8</f>
        <v>194.278479745825</v>
      </c>
    </row>
    <row r="6" customFormat="false" ht="15" hidden="false" customHeight="false" outlineLevel="0" collapsed="false">
      <c r="A6" s="26" t="s">
        <v>220</v>
      </c>
      <c r="B6" s="36" t="s">
        <v>55</v>
      </c>
      <c r="D6" s="37" t="n">
        <f aca="false">Loan!D8+Loan!D9</f>
        <v>48.63285</v>
      </c>
      <c r="E6" s="37" t="n">
        <f aca="false">Loan!E8+Loan!E9</f>
        <v>48.63285</v>
      </c>
      <c r="F6" s="37" t="n">
        <f aca="false">Loan!F8+Loan!F9</f>
        <v>114.799992857143</v>
      </c>
      <c r="G6" s="37" t="n">
        <f aca="false">Loan!G8+Loan!G9</f>
        <v>107.852442857143</v>
      </c>
      <c r="H6" s="37" t="n">
        <f aca="false">Loan!H8+Loan!H9</f>
        <v>100.904892857143</v>
      </c>
      <c r="I6" s="37" t="n">
        <f aca="false">Loan!I8+Loan!I9</f>
        <v>93.9573428571429</v>
      </c>
      <c r="J6" s="37" t="n">
        <f aca="false">Loan!J8+Loan!J9</f>
        <v>87.0097928571429</v>
      </c>
      <c r="K6" s="37" t="n">
        <f aca="false">Loan!K8+Loan!K9</f>
        <v>80.0622428571429</v>
      </c>
      <c r="L6" s="37" t="n">
        <f aca="false">Loan!L8+Loan!L9</f>
        <v>73.1146928571429</v>
      </c>
      <c r="M6" s="37" t="n">
        <f aca="false">Loan!M8+Loan!M9</f>
        <v>0</v>
      </c>
    </row>
    <row r="7" customFormat="false" ht="15" hidden="false" customHeight="false" outlineLevel="0" collapsed="false">
      <c r="A7" s="26" t="s">
        <v>24</v>
      </c>
      <c r="B7" s="36" t="s">
        <v>104</v>
      </c>
      <c r="D7" s="39" t="n">
        <f aca="false">IF(D6&gt;0,D5/D6,"")</f>
        <v>2.07838629352382</v>
      </c>
      <c r="E7" s="39" t="n">
        <f aca="false">IF(E6&gt;0,E5/E6,"")</f>
        <v>2.58309722075716</v>
      </c>
      <c r="F7" s="39" t="n">
        <f aca="false">IF(F6&gt;0,F5/F6,"")</f>
        <v>1.32337500465421</v>
      </c>
      <c r="G7" s="39" t="n">
        <f aca="false">IF(G6&gt;0,G5/G6,"")</f>
        <v>1.54415985441044</v>
      </c>
      <c r="H7" s="39" t="n">
        <f aca="false">IF(H6&gt;0,H5/H6,"")</f>
        <v>1.68439973136364</v>
      </c>
      <c r="I7" s="39" t="n">
        <f aca="false">IF(I6&gt;0,I5/I6,"")</f>
        <v>1.88935991416603</v>
      </c>
      <c r="J7" s="39" t="n">
        <f aca="false">IF(J6&gt;0,J5/J6,"")</f>
        <v>2.08541708632109</v>
      </c>
      <c r="K7" s="39" t="n">
        <f aca="false">IF(K6&gt;0,K5/K6,"")</f>
        <v>2.31761461555919</v>
      </c>
      <c r="L7" s="39" t="n">
        <f aca="false">IF(L6&gt;0,L5/L6,"")</f>
        <v>2.59630262265595</v>
      </c>
      <c r="M7" s="39" t="str">
        <f aca="false">IF(M6&gt;0,M5/M6,"")</f>
        <v/>
      </c>
    </row>
    <row r="8" customFormat="false" ht="15" hidden="false" customHeight="false" outlineLevel="0" collapsed="false">
      <c r="A8" s="9" t="s">
        <v>221</v>
      </c>
      <c r="B8" s="36" t="s">
        <v>104</v>
      </c>
      <c r="C8" s="44" t="n">
        <f aca="false">MIN(D7:M7)</f>
        <v>1.32337500465421</v>
      </c>
    </row>
    <row r="9" customFormat="false" ht="15" hidden="false" customHeight="false" outlineLevel="0" collapsed="false">
      <c r="A9" s="9" t="s">
        <v>222</v>
      </c>
      <c r="B9" s="36" t="s">
        <v>104</v>
      </c>
      <c r="C9" s="44" t="n">
        <f aca="false">AVERAGE(D7:M7)</f>
        <v>2.01134581593461</v>
      </c>
    </row>
    <row r="11" customFormat="false" ht="15" hidden="false" customHeight="false" outlineLevel="0" collapsed="false">
      <c r="A11" s="24" t="s">
        <v>223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  <row r="12" customFormat="false" ht="15" hidden="false" customHeight="false" outlineLevel="0" collapsed="false">
      <c r="A12" s="26" t="s">
        <v>224</v>
      </c>
      <c r="B12" s="36" t="s">
        <v>55</v>
      </c>
      <c r="D12" s="37" t="n">
        <f aca="false">MAX(0,PnL!D10)*Inputs!$C$44</f>
        <v>15.59273949</v>
      </c>
      <c r="E12" s="37" t="n">
        <f aca="false">MAX(0,PnL!E10)*Inputs!$C$44</f>
        <v>23.8489336725</v>
      </c>
      <c r="F12" s="37" t="n">
        <f aca="false">MAX(0,PnL!F10)*Inputs!$C$44</f>
        <v>32.695286013375</v>
      </c>
      <c r="G12" s="37" t="n">
        <f aca="false">MAX(0,PnL!G10)*Inputs!$C$44</f>
        <v>38.200418669904</v>
      </c>
      <c r="H12" s="37" t="n">
        <f aca="false">MAX(0,PnL!H10)*Inputs!$C$44</f>
        <v>39.9399035779522</v>
      </c>
      <c r="I12" s="37" t="n">
        <f aca="false">MAX(0,PnL!I10)*Inputs!$C$44</f>
        <v>44.5493338615299</v>
      </c>
      <c r="J12" s="37" t="n">
        <f aca="false">MAX(0,PnL!J10)*Inputs!$C$44</f>
        <v>46.4602658925836</v>
      </c>
      <c r="K12" s="37" t="n">
        <f aca="false">MAX(0,PnL!K10)*Inputs!$C$44</f>
        <v>48.4281252563706</v>
      </c>
      <c r="L12" s="37" t="n">
        <f aca="false">MAX(0,PnL!L10)*Inputs!$C$44</f>
        <v>50.4540842055258</v>
      </c>
      <c r="M12" s="37" t="n">
        <f aca="false">MAX(0,PnL!M10)*Inputs!$C$44</f>
        <v>52.5392988801606</v>
      </c>
    </row>
    <row r="13" customFormat="false" ht="15" hidden="false" customHeight="false" outlineLevel="0" collapsed="false">
      <c r="A13" s="26" t="s">
        <v>225</v>
      </c>
      <c r="B13" s="36" t="s">
        <v>55</v>
      </c>
      <c r="D13" s="37" t="n">
        <f aca="false">Revenue_Costs!D35-Revenue_Costs!C35</f>
        <v>16.0421671232877</v>
      </c>
      <c r="E13" s="37" t="n">
        <f aca="false">Revenue_Costs!E35-Revenue_Costs!D35</f>
        <v>4.40479931506849</v>
      </c>
      <c r="F13" s="37" t="n">
        <f aca="false">Revenue_Costs!F35-Revenue_Costs!E35</f>
        <v>4.72228058219179</v>
      </c>
      <c r="G13" s="37" t="n">
        <f aca="false">Revenue_Costs!G35-Revenue_Costs!F35</f>
        <v>3.00048085232876</v>
      </c>
      <c r="H13" s="37" t="n">
        <f aca="false">Revenue_Costs!H35-Revenue_Costs!G35</f>
        <v>1.05618305135343</v>
      </c>
      <c r="I13" s="37" t="n">
        <f aca="false">Revenue_Costs!I35-Revenue_Costs!H35</f>
        <v>1.98123281155803</v>
      </c>
      <c r="J13" s="37" t="n">
        <f aca="false">Revenue_Costs!J35-Revenue_Costs!I35</f>
        <v>1.16520224708611</v>
      </c>
      <c r="K13" s="37" t="n">
        <f aca="false">Revenue_Costs!K35-Revenue_Costs!J35</f>
        <v>1.20543942949367</v>
      </c>
      <c r="L13" s="37" t="n">
        <f aca="false">Revenue_Costs!L35-Revenue_Costs!K35</f>
        <v>1.24692531722465</v>
      </c>
      <c r="M13" s="37" t="n">
        <f aca="false">Revenue_Costs!M35-Revenue_Costs!L35</f>
        <v>1.28968928519747</v>
      </c>
    </row>
    <row r="14" customFormat="false" ht="15" hidden="false" customHeight="false" outlineLevel="0" collapsed="false">
      <c r="A14" s="26" t="s">
        <v>226</v>
      </c>
      <c r="B14" s="36" t="s">
        <v>55</v>
      </c>
      <c r="D14" s="37" t="n">
        <f aca="false">0</f>
        <v>0</v>
      </c>
      <c r="E14" s="37" t="n">
        <f aca="false">0</f>
        <v>0</v>
      </c>
      <c r="F14" s="37" t="n">
        <f aca="false">0</f>
        <v>0</v>
      </c>
      <c r="G14" s="37" t="n">
        <f aca="false">0</f>
        <v>0</v>
      </c>
      <c r="H14" s="37" t="n">
        <f aca="false">0</f>
        <v>0</v>
      </c>
      <c r="I14" s="37" t="n">
        <f aca="false">0</f>
        <v>0</v>
      </c>
      <c r="J14" s="37" t="n">
        <f aca="false">0</f>
        <v>0</v>
      </c>
      <c r="K14" s="37" t="n">
        <f aca="false">0</f>
        <v>0</v>
      </c>
      <c r="L14" s="37" t="n">
        <f aca="false">0</f>
        <v>0</v>
      </c>
      <c r="M14" s="37" t="n">
        <f aca="false">Revenue_Costs!M30*Inputs!$C$52+Revenue_Costs!M35</f>
        <v>211.68940001479</v>
      </c>
    </row>
    <row r="15" customFormat="false" ht="15" hidden="false" customHeight="false" outlineLevel="0" collapsed="false">
      <c r="A15" s="9" t="s">
        <v>227</v>
      </c>
      <c r="B15" s="36" t="s">
        <v>55</v>
      </c>
      <c r="C15" s="38" t="n">
        <f aca="false">-Capex_Funding!C14</f>
        <v>-753.95</v>
      </c>
      <c r="D15" s="38" t="n">
        <f aca="false">Revenue_Costs!D23-D12-D13+D14</f>
        <v>72.7947933867123</v>
      </c>
      <c r="E15" s="38" t="n">
        <f aca="false">Revenue_Costs!E23-E12-E13+E14</f>
        <v>108.977692012432</v>
      </c>
      <c r="F15" s="38" t="n">
        <f aca="false">Revenue_Costs!F23-F12-F13+F14</f>
        <v>134.960272154433</v>
      </c>
      <c r="G15" s="38" t="n">
        <f aca="false">Revenue_Costs!G23-G12-G13+G14</f>
        <v>153.048741597767</v>
      </c>
      <c r="H15" s="38" t="n">
        <f aca="false">Revenue_Costs!H23-H12-H13+H14</f>
        <v>160.164499695494</v>
      </c>
      <c r="I15" s="38" t="n">
        <f aca="false">Revenue_Costs!I23-I12-I13+I14</f>
        <v>168.543211084281</v>
      </c>
      <c r="J15" s="38" t="n">
        <f aca="false">Revenue_Costs!J23-J12-J13+J14</f>
        <v>175.040411449459</v>
      </c>
      <c r="K15" s="38" t="n">
        <f aca="false">Revenue_Costs!K23-K12-K13+K14</f>
        <v>180.85058810067</v>
      </c>
      <c r="L15" s="38" t="n">
        <f aca="false">Revenue_Costs!L23-L12-L13+L14</f>
        <v>186.832245167459</v>
      </c>
      <c r="M15" s="38" t="n">
        <f aca="false">Revenue_Costs!M23-M12-M13+M14</f>
        <v>404.678190475418</v>
      </c>
    </row>
    <row r="16" customFormat="false" ht="15" hidden="false" customHeight="false" outlineLevel="0" collapsed="false">
      <c r="A16" s="26" t="s">
        <v>228</v>
      </c>
      <c r="B16" s="36" t="s">
        <v>55</v>
      </c>
      <c r="C16" s="37" t="n">
        <f aca="false">C15</f>
        <v>-753.95</v>
      </c>
      <c r="D16" s="37" t="n">
        <f aca="false">C16+D15</f>
        <v>-681.155206613288</v>
      </c>
      <c r="E16" s="37" t="n">
        <f aca="false">D16+E15</f>
        <v>-572.177514600856</v>
      </c>
      <c r="F16" s="37" t="n">
        <f aca="false">E16+F15</f>
        <v>-437.217242446423</v>
      </c>
      <c r="G16" s="37" t="n">
        <f aca="false">F16+G15</f>
        <v>-284.168500848656</v>
      </c>
      <c r="H16" s="37" t="n">
        <f aca="false">G16+H15</f>
        <v>-124.004001153161</v>
      </c>
      <c r="I16" s="37" t="n">
        <f aca="false">H16+I15</f>
        <v>44.53920993112</v>
      </c>
      <c r="J16" s="37" t="n">
        <f aca="false">I16+J15</f>
        <v>219.579621380579</v>
      </c>
      <c r="K16" s="37" t="n">
        <f aca="false">J16+K15</f>
        <v>400.430209481248</v>
      </c>
      <c r="L16" s="37" t="n">
        <f aca="false">K16+L15</f>
        <v>587.262454648708</v>
      </c>
      <c r="M16" s="37" t="n">
        <f aca="false">L16+M15</f>
        <v>991.940645124125</v>
      </c>
    </row>
    <row r="17" customFormat="false" ht="15" hidden="false" customHeight="false" outlineLevel="0" collapsed="false">
      <c r="A17" s="26" t="s">
        <v>229</v>
      </c>
      <c r="B17" s="36" t="s">
        <v>55</v>
      </c>
      <c r="C17" s="37" t="n">
        <f aca="false">C15/(1+Inputs!$C$50)^Inputs!C$6</f>
        <v>-753.95</v>
      </c>
      <c r="D17" s="37" t="n">
        <f aca="false">D15/(1+Inputs!$C$50)^Inputs!D$6</f>
        <v>65.5808949429841</v>
      </c>
      <c r="E17" s="37" t="n">
        <f aca="false">E15/(1+Inputs!$C$50)^Inputs!E$6</f>
        <v>88.4487395604509</v>
      </c>
      <c r="F17" s="37" t="n">
        <f aca="false">F15/(1+Inputs!$C$50)^Inputs!F$6</f>
        <v>98.6817878173522</v>
      </c>
      <c r="G17" s="37" t="n">
        <f aca="false">G15/(1+Inputs!$C$50)^Inputs!G$6</f>
        <v>100.817946644364</v>
      </c>
      <c r="H17" s="37" t="n">
        <f aca="false">H15/(1+Inputs!$C$50)^Inputs!H$6</f>
        <v>95.0498350521258</v>
      </c>
      <c r="I17" s="37" t="n">
        <f aca="false">I15/(1+Inputs!$C$50)^Inputs!I$6</f>
        <v>90.1100832911899</v>
      </c>
      <c r="J17" s="37" t="n">
        <f aca="false">J15/(1+Inputs!$C$50)^Inputs!J$6</f>
        <v>84.3096864204185</v>
      </c>
      <c r="K17" s="37" t="n">
        <f aca="false">K15/(1+Inputs!$C$50)^Inputs!K$6</f>
        <v>78.4758620479602</v>
      </c>
      <c r="L17" s="37" t="n">
        <f aca="false">L15/(1+Inputs!$C$50)^Inputs!L$6</f>
        <v>73.0373527396472</v>
      </c>
      <c r="M17" s="37" t="n">
        <f aca="false">M15/(1+Inputs!$C$50)^Inputs!M$6</f>
        <v>142.521377583979</v>
      </c>
    </row>
    <row r="18" customFormat="false" ht="15" hidden="false" customHeight="false" outlineLevel="0" collapsed="false">
      <c r="A18" s="26" t="s">
        <v>230</v>
      </c>
      <c r="B18" s="36" t="s">
        <v>55</v>
      </c>
      <c r="C18" s="37" t="n">
        <f aca="false">C17</f>
        <v>-753.95</v>
      </c>
      <c r="D18" s="37" t="n">
        <f aca="false">C18+D17</f>
        <v>-688.369105057016</v>
      </c>
      <c r="E18" s="37" t="n">
        <f aca="false">D18+E17</f>
        <v>-599.920365496565</v>
      </c>
      <c r="F18" s="37" t="n">
        <f aca="false">E18+F17</f>
        <v>-501.238577679213</v>
      </c>
      <c r="G18" s="37" t="n">
        <f aca="false">F18+G17</f>
        <v>-400.420631034849</v>
      </c>
      <c r="H18" s="37" t="n">
        <f aca="false">G18+H17</f>
        <v>-305.370795982724</v>
      </c>
      <c r="I18" s="37" t="n">
        <f aca="false">H18+I17</f>
        <v>-215.260712691534</v>
      </c>
      <c r="J18" s="37" t="n">
        <f aca="false">I18+J17</f>
        <v>-130.951026271115</v>
      </c>
      <c r="K18" s="37" t="n">
        <f aca="false">J18+K17</f>
        <v>-52.475164223155</v>
      </c>
      <c r="L18" s="37" t="n">
        <f aca="false">K18+L17</f>
        <v>20.5621885164922</v>
      </c>
      <c r="M18" s="37" t="n">
        <f aca="false">L18+M17</f>
        <v>163.083566100472</v>
      </c>
    </row>
    <row r="19" customFormat="false" ht="15" hidden="false" customHeight="false" outlineLevel="0" collapsed="false">
      <c r="A19" s="26" t="s">
        <v>231</v>
      </c>
      <c r="B19" s="36" t="s">
        <v>69</v>
      </c>
      <c r="D19" s="45" t="str">
        <f aca="false">IF(AND(C16&lt;0,D16&gt;=0),Inputs!D$6-1+(-C16)/D15,"")</f>
        <v/>
      </c>
      <c r="E19" s="45" t="str">
        <f aca="false">IF(AND(D16&lt;0,E16&gt;=0),Inputs!E$6-1+(-D16)/E15,"")</f>
        <v/>
      </c>
      <c r="F19" s="45" t="str">
        <f aca="false">IF(AND(E16&lt;0,F16&gt;=0),Inputs!F$6-1+(-E16)/F15,"")</f>
        <v/>
      </c>
      <c r="G19" s="45" t="str">
        <f aca="false">IF(AND(F16&lt;0,G16&gt;=0),Inputs!G$6-1+(-F16)/G15,"")</f>
        <v/>
      </c>
      <c r="H19" s="45" t="str">
        <f aca="false">IF(AND(G16&lt;0,H16&gt;=0),Inputs!H$6-1+(-G16)/H15,"")</f>
        <v/>
      </c>
      <c r="I19" s="45" t="n">
        <f aca="false">IF(AND(H16&lt;0,I16&gt;=0),Inputs!I$6-1+(-H16)/I15,"")</f>
        <v>5.7357401129088</v>
      </c>
      <c r="J19" s="45" t="str">
        <f aca="false">IF(AND(I16&lt;0,J16&gt;=0),Inputs!J$6-1+(-I16)/J15,"")</f>
        <v/>
      </c>
      <c r="K19" s="45" t="str">
        <f aca="false">IF(AND(J16&lt;0,K16&gt;=0),Inputs!K$6-1+(-J16)/K15,"")</f>
        <v/>
      </c>
      <c r="L19" s="45" t="str">
        <f aca="false">IF(AND(K16&lt;0,L16&gt;=0),Inputs!L$6-1+(-K16)/L15,"")</f>
        <v/>
      </c>
      <c r="M19" s="45" t="str">
        <f aca="false">IF(AND(L16&lt;0,M16&gt;=0),Inputs!M$6-1+(-L16)/M15,"")</f>
        <v/>
      </c>
    </row>
    <row r="20" customFormat="false" ht="15" hidden="false" customHeight="false" outlineLevel="0" collapsed="false">
      <c r="A20" s="26" t="s">
        <v>232</v>
      </c>
      <c r="B20" s="36" t="s">
        <v>69</v>
      </c>
      <c r="D20" s="45" t="str">
        <f aca="false">IF(AND(C18&lt;0,D18&gt;=0),Inputs!D$6-1+(-C18)/D17,"")</f>
        <v/>
      </c>
      <c r="E20" s="45" t="str">
        <f aca="false">IF(AND(D18&lt;0,E18&gt;=0),Inputs!E$6-1+(-D18)/E17,"")</f>
        <v/>
      </c>
      <c r="F20" s="45" t="str">
        <f aca="false">IF(AND(E18&lt;0,F18&gt;=0),Inputs!F$6-1+(-E18)/F17,"")</f>
        <v/>
      </c>
      <c r="G20" s="45" t="str">
        <f aca="false">IF(AND(F18&lt;0,G18&gt;=0),Inputs!G$6-1+(-F18)/G17,"")</f>
        <v/>
      </c>
      <c r="H20" s="45" t="str">
        <f aca="false">IF(AND(G18&lt;0,H18&gt;=0),Inputs!H$6-1+(-G18)/H17,"")</f>
        <v/>
      </c>
      <c r="I20" s="45" t="str">
        <f aca="false">IF(AND(H18&lt;0,I18&gt;=0),Inputs!I$6-1+(-H18)/I17,"")</f>
        <v/>
      </c>
      <c r="J20" s="45" t="str">
        <f aca="false">IF(AND(I18&lt;0,J18&gt;=0),Inputs!J$6-1+(-I18)/J17,"")</f>
        <v/>
      </c>
      <c r="K20" s="45" t="str">
        <f aca="false">IF(AND(J18&lt;0,K18&gt;=0),Inputs!K$6-1+(-J18)/K17,"")</f>
        <v/>
      </c>
      <c r="L20" s="45" t="n">
        <f aca="false">IF(AND(K18&lt;0,L18&gt;=0),Inputs!L$6-1+(-K18)/L17,"")</f>
        <v>8.71847023823838</v>
      </c>
      <c r="M20" s="45" t="str">
        <f aca="false">IF(AND(L18&lt;0,M18&gt;=0),Inputs!M$6-1+(-L18)/M17,"")</f>
        <v/>
      </c>
    </row>
    <row r="21" customFormat="false" ht="15" hidden="false" customHeight="false" outlineLevel="0" collapsed="false">
      <c r="A21" s="9" t="s">
        <v>233</v>
      </c>
      <c r="B21" s="36" t="s">
        <v>55</v>
      </c>
      <c r="C21" s="43" t="n">
        <f aca="false">NPV(Inputs!$C$50,D15:M15)+C15</f>
        <v>163.083566100472</v>
      </c>
    </row>
    <row r="22" customFormat="false" ht="15" hidden="false" customHeight="false" outlineLevel="0" collapsed="false">
      <c r="A22" s="9" t="s">
        <v>23</v>
      </c>
      <c r="B22" s="36" t="s">
        <v>62</v>
      </c>
      <c r="C22" s="46" t="n">
        <f aca="false">IRR(C15:M15)</f>
        <v>0.14959511384565</v>
      </c>
    </row>
    <row r="23" customFormat="false" ht="15" hidden="false" customHeight="false" outlineLevel="0" collapsed="false">
      <c r="A23" s="9" t="s">
        <v>234</v>
      </c>
      <c r="B23" s="36" t="s">
        <v>104</v>
      </c>
      <c r="C23" s="44" t="n">
        <f aca="false">SUMIF(C17:M17,"&gt;0")/-SUMIF(C17:M17,"&lt;0")</f>
        <v>1.21630554559383</v>
      </c>
    </row>
    <row r="24" customFormat="false" ht="15" hidden="false" customHeight="false" outlineLevel="0" collapsed="false">
      <c r="A24" s="9" t="s">
        <v>235</v>
      </c>
      <c r="B24" s="36" t="s">
        <v>69</v>
      </c>
      <c r="C24" s="47" t="n">
        <f aca="false">IF(COUNT(D19:M19)=0,"Beyond Year 10",MIN(D19:M19))</f>
        <v>5.7357401129088</v>
      </c>
    </row>
    <row r="25" customFormat="false" ht="15" hidden="false" customHeight="false" outlineLevel="0" collapsed="false">
      <c r="A25" s="9" t="s">
        <v>35</v>
      </c>
      <c r="B25" s="36" t="s">
        <v>69</v>
      </c>
      <c r="C25" s="47" t="n">
        <f aca="false">IF(COUNT(D20:M20)=0,"Beyond Year 10",MIN(D20:M20))</f>
        <v>8.71847023823838</v>
      </c>
    </row>
    <row r="27" customFormat="false" ht="15" hidden="false" customHeight="false" outlineLevel="0" collapsed="false">
      <c r="A27" s="24" t="s">
        <v>236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customFormat="false" ht="15" hidden="false" customHeight="false" outlineLevel="0" collapsed="false">
      <c r="A28" s="9" t="s">
        <v>237</v>
      </c>
      <c r="B28" s="36" t="s">
        <v>55</v>
      </c>
      <c r="C28" s="43" t="n">
        <f aca="false">-Capex_Funding!C20</f>
        <v>-308.78</v>
      </c>
      <c r="D28" s="43" t="n">
        <f aca="false">CashFlow!D9-Loan!D9</f>
        <v>36.4028317317123</v>
      </c>
      <c r="E28" s="43" t="n">
        <f aca="false">CashFlow!E9-Loan!E9</f>
        <v>72.5857303574315</v>
      </c>
      <c r="F28" s="43" t="n">
        <f aca="false">CashFlow!F9-Loan!F9</f>
        <v>32.4011676422904</v>
      </c>
      <c r="G28" s="43" t="n">
        <f aca="false">CashFlow!G9-Loan!G9</f>
        <v>55.6884887506244</v>
      </c>
      <c r="H28" s="43" t="n">
        <f aca="false">CashFlow!H9-Loan!H9</f>
        <v>68.0030985133516</v>
      </c>
      <c r="I28" s="43" t="n">
        <f aca="false">CashFlow!I9-Loan!I9</f>
        <v>81.5806615671386</v>
      </c>
      <c r="J28" s="43" t="n">
        <f aca="false">CashFlow!J9-Loan!J9</f>
        <v>93.2767135973157</v>
      </c>
      <c r="K28" s="43" t="n">
        <f aca="false">CashFlow!K9-Loan!K9</f>
        <v>104.285741913527</v>
      </c>
      <c r="L28" s="43" t="n">
        <f aca="false">CashFlow!L9-Loan!L9</f>
        <v>115.466250645316</v>
      </c>
      <c r="M28" s="43" t="n">
        <f aca="false">CashFlow!M9-Loan!M9+Capex_Funding!C15+Revenue_Costs!M30*Inputs!$C$52+Revenue_Costs!M35</f>
        <v>422.678190475418</v>
      </c>
    </row>
    <row r="29" customFormat="false" ht="15" hidden="false" customHeight="false" outlineLevel="0" collapsed="false">
      <c r="A29" s="9" t="s">
        <v>238</v>
      </c>
      <c r="B29" s="36" t="s">
        <v>55</v>
      </c>
      <c r="C29" s="43" t="n">
        <f aca="false">NPV(Inputs!$C$51,D28:M28)+C28</f>
        <v>129.689104301473</v>
      </c>
    </row>
    <row r="30" customFormat="false" ht="15" hidden="false" customHeight="false" outlineLevel="0" collapsed="false">
      <c r="A30" s="9" t="s">
        <v>27</v>
      </c>
      <c r="B30" s="36" t="s">
        <v>62</v>
      </c>
      <c r="C30" s="46" t="n">
        <f aca="false">IRR(C28:M28)</f>
        <v>0.208768318462049</v>
      </c>
    </row>
    <row r="32" customFormat="false" ht="15" hidden="false" customHeight="false" outlineLevel="0" collapsed="false">
      <c r="A32" s="24" t="s">
        <v>239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customFormat="false" ht="15" hidden="false" customHeight="false" outlineLevel="0" collapsed="false">
      <c r="A33" s="26" t="s">
        <v>240</v>
      </c>
      <c r="B33" s="36" t="s">
        <v>55</v>
      </c>
      <c r="D33" s="37" t="n">
        <f aca="false">Revenue_Costs!D10-Revenue_Costs!D21</f>
        <v>154.6325</v>
      </c>
      <c r="E33" s="37" t="n">
        <f aca="false">Revenue_Costs!E10-Revenue_Costs!E21</f>
        <v>189.804225</v>
      </c>
      <c r="F33" s="37" t="n">
        <f aca="false">Revenue_Costs!F10-Revenue_Costs!F21</f>
        <v>227.45833875</v>
      </c>
      <c r="G33" s="37" t="n">
        <f aca="false">Revenue_Costs!G10-Revenue_Costs!G21</f>
        <v>251.98357812</v>
      </c>
      <c r="H33" s="37" t="n">
        <f aca="false">Revenue_Costs!H10-Revenue_Costs!H21</f>
        <v>261.7022052948</v>
      </c>
      <c r="I33" s="37" t="n">
        <f aca="false">Revenue_Costs!I10-Revenue_Costs!I21</f>
        <v>278.586330303069</v>
      </c>
      <c r="J33" s="37" t="n">
        <f aca="false">Revenue_Costs!J10-Revenue_Costs!J21</f>
        <v>289.322151946945</v>
      </c>
      <c r="K33" s="37" t="n">
        <f aca="false">Revenue_Costs!K10-Revenue_Costs!K21</f>
        <v>300.467024878164</v>
      </c>
      <c r="L33" s="37" t="n">
        <f aca="false">Revenue_Costs!L10-Revenue_Costs!L21</f>
        <v>312.036292069298</v>
      </c>
      <c r="M33" s="37" t="n">
        <f aca="false">Revenue_Costs!M10-Revenue_Costs!M21</f>
        <v>324.045859257878</v>
      </c>
    </row>
    <row r="34" customFormat="false" ht="15" hidden="false" customHeight="false" outlineLevel="0" collapsed="false">
      <c r="A34" s="26" t="s">
        <v>241</v>
      </c>
      <c r="B34" s="36" t="s">
        <v>62</v>
      </c>
      <c r="D34" s="40" t="n">
        <f aca="false">Revenue_Costs!D5*(Revenue_Costs!D22+Revenue_Costs!D29+Loan!D8)/D33</f>
        <v>0.502634358883159</v>
      </c>
      <c r="E34" s="40" t="n">
        <f aca="false">Revenue_Costs!E5*(Revenue_Costs!E22+Revenue_Costs!E29+Loan!E8)/E33</f>
        <v>0.492063190374187</v>
      </c>
      <c r="F34" s="40" t="n">
        <f aca="false">Revenue_Costs!F5*(Revenue_Costs!F22+Revenue_Costs!F29+Loan!F8)/F33</f>
        <v>0.482044373939225</v>
      </c>
      <c r="G34" s="40" t="n">
        <f aca="false">Revenue_Costs!G5*(Revenue_Costs!G22+Revenue_Costs!G29+Loan!G8)/G33</f>
        <v>0.450503125826476</v>
      </c>
      <c r="H34" s="40" t="n">
        <f aca="false">Revenue_Costs!H5*(Revenue_Costs!H22+Revenue_Costs!H29+Loan!H8)/H33</f>
        <v>0.42111794607101</v>
      </c>
      <c r="I34" s="40" t="n">
        <f aca="false">Revenue_Costs!I5*(Revenue_Costs!I22+Revenue_Costs!I29+Loan!I8)/I33</f>
        <v>0.380829371534692</v>
      </c>
      <c r="J34" s="40" t="n">
        <f aca="false">Revenue_Costs!J5*(Revenue_Costs!J22+Revenue_Costs!J29+Loan!J8)/J33</f>
        <v>0.355917152006712</v>
      </c>
      <c r="K34" s="40" t="n">
        <f aca="false">Revenue_Costs!K5*(Revenue_Costs!K22+Revenue_Costs!K29+Loan!K8)/K33</f>
        <v>0.332833651731625</v>
      </c>
      <c r="L34" s="40" t="n">
        <f aca="false">Revenue_Costs!L5*(Revenue_Costs!L22+Revenue_Costs!L29+Loan!L8)/L33</f>
        <v>0.311486465264326</v>
      </c>
      <c r="M34" s="40" t="n">
        <f aca="false">Revenue_Costs!M5*(Revenue_Costs!M22+Revenue_Costs!M29+Loan!M8)/M33</f>
        <v>0.291787793044769</v>
      </c>
    </row>
    <row r="35" customFormat="false" ht="15" hidden="false" customHeight="false" outlineLevel="0" collapsed="false">
      <c r="A35" s="26" t="s">
        <v>242</v>
      </c>
      <c r="B35" s="36" t="s">
        <v>62</v>
      </c>
      <c r="D35" s="40" t="n">
        <f aca="false">Revenue_Costs!D5*(Revenue_Costs!D22+Loan!D8+Loan!D9)/D33</f>
        <v>0.351540636670816</v>
      </c>
      <c r="E35" s="40" t="n">
        <f aca="false">Revenue_Costs!E5*(Revenue_Costs!E22+Loan!E8+Loan!E9)/E33</f>
        <v>0.346586976659766</v>
      </c>
      <c r="F35" s="40" t="n">
        <f aca="false">Revenue_Costs!F5*(Revenue_Costs!F22+Loan!F8+Loan!F9)/F33</f>
        <v>0.560148158748729</v>
      </c>
      <c r="G35" s="40" t="n">
        <f aca="false">Revenue_Costs!G5*(Revenue_Costs!G22+Loan!G8+Loan!G9)/G33</f>
        <v>0.525705305377598</v>
      </c>
      <c r="H35" s="40" t="n">
        <f aca="false">Revenue_Costs!H5*(Revenue_Costs!H22+Loan!H8+Loan!H9)/H33</f>
        <v>0.493527401942305</v>
      </c>
      <c r="I35" s="40" t="n">
        <f aca="false">Revenue_Costs!I5*(Revenue_Costs!I22+Loan!I8+Loan!I9)/I33</f>
        <v>0.463501974737447</v>
      </c>
      <c r="J35" s="40" t="n">
        <f aca="false">Revenue_Costs!J5*(Revenue_Costs!J22+Loan!J8+Loan!J9)/J33</f>
        <v>0.435522038766577</v>
      </c>
      <c r="K35" s="40" t="n">
        <f aca="false">Revenue_Costs!K5*(Revenue_Costs!K22+Loan!K8+Loan!K9)/K33</f>
        <v>0.40948584726688</v>
      </c>
      <c r="L35" s="40" t="n">
        <f aca="false">Revenue_Costs!L5*(Revenue_Costs!L22+Loan!L8+Loan!L9)/L33</f>
        <v>0.385296652502874</v>
      </c>
      <c r="M35" s="40" t="n">
        <f aca="false">Revenue_Costs!M5*(Revenue_Costs!M22+Loan!M8+Loan!M9)/M33</f>
        <v>0.195426123522091</v>
      </c>
    </row>
    <row r="36" customFormat="false" ht="15" hidden="false" customHeight="false" outlineLevel="0" collapsed="false">
      <c r="A36" s="9" t="s">
        <v>243</v>
      </c>
      <c r="B36" s="36" t="s">
        <v>62</v>
      </c>
      <c r="C36" s="46" t="n">
        <f aca="false">INDEX(D34:M34,Inputs!$C$54)</f>
        <v>0.450503125826476</v>
      </c>
    </row>
    <row r="37" customFormat="false" ht="15" hidden="false" customHeight="false" outlineLevel="0" collapsed="false">
      <c r="A37" s="9" t="s">
        <v>244</v>
      </c>
      <c r="B37" s="36" t="s">
        <v>62</v>
      </c>
      <c r="C37" s="46" t="n">
        <f aca="false">INDEX(D35:M35,Inputs!$C$54)</f>
        <v>0.525705305377598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68"/>
    <pageSetUpPr fitToPage="true"/>
  </sheetPr>
  <dimension ref="A1:I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4"/>
    <col collapsed="false" customWidth="true" hidden="false" outlineLevel="0" max="9" min="2" style="0" width="15"/>
  </cols>
  <sheetData>
    <row r="1" customFormat="false" ht="17.35" hidden="false" customHeight="false" outlineLevel="0" collapsed="false">
      <c r="A1" s="20" t="s">
        <v>245</v>
      </c>
    </row>
    <row r="2" customFormat="false" ht="15" hidden="false" customHeight="false" outlineLevel="0" collapsed="false">
      <c r="A2" s="35" t="s">
        <v>123</v>
      </c>
    </row>
    <row r="4" customFormat="false" ht="31.5" hidden="false" customHeight="true" outlineLevel="0" collapsed="false">
      <c r="A4" s="34" t="s">
        <v>109</v>
      </c>
      <c r="B4" s="34" t="s">
        <v>23</v>
      </c>
      <c r="C4" s="34" t="s">
        <v>246</v>
      </c>
      <c r="D4" s="34" t="s">
        <v>27</v>
      </c>
      <c r="E4" s="34" t="s">
        <v>32</v>
      </c>
      <c r="F4" s="34" t="s">
        <v>33</v>
      </c>
      <c r="G4" s="34" t="s">
        <v>247</v>
      </c>
      <c r="H4" s="34" t="s">
        <v>248</v>
      </c>
      <c r="I4" s="34" t="s">
        <v>249</v>
      </c>
    </row>
    <row r="5" customFormat="false" ht="15" hidden="false" customHeight="false" outlineLevel="0" collapsed="false">
      <c r="A5" s="48" t="str">
        <f aca="false">Inputs!$A$60</f>
        <v>Base case</v>
      </c>
      <c r="B5" s="46" t="n">
        <f aca="false">Sens_Calc!$C$125</f>
        <v>0.14959511384565</v>
      </c>
      <c r="C5" s="43" t="n">
        <f aca="false">Sens_Calc!$C$124</f>
        <v>163.083566100472</v>
      </c>
      <c r="D5" s="46" t="n">
        <f aca="false">Sens_Calc!$C$133</f>
        <v>0.208768318462049</v>
      </c>
      <c r="E5" s="44" t="n">
        <f aca="false">Sens_Calc!$C$111</f>
        <v>1.32337500465421</v>
      </c>
      <c r="F5" s="44" t="n">
        <f aca="false">Sens_Calc!$C$112</f>
        <v>2.01134581593461</v>
      </c>
      <c r="G5" s="47" t="n">
        <f aca="false">Sens_Calc!$C$127</f>
        <v>5.7357401129088</v>
      </c>
      <c r="H5" s="43" t="n">
        <f aca="false">MIN(Sens_Calc!C95:M95)</f>
        <v>18</v>
      </c>
      <c r="I5" s="48" t="str">
        <f aca="false">IF(SUMPRODUCT(ABS(Sens_Calc!C106:M106))&lt;0.001,"Balances","ERROR")</f>
        <v>Balances</v>
      </c>
    </row>
    <row r="6" customFormat="false" ht="15" hidden="false" customHeight="false" outlineLevel="0" collapsed="false">
      <c r="A6" s="49" t="str">
        <f aca="false">Inputs!$A$61</f>
        <v>Rent -10%</v>
      </c>
      <c r="B6" s="40" t="n">
        <f aca="false">Sens_Calc!$C$264</f>
        <v>0.120504834427527</v>
      </c>
      <c r="C6" s="37" t="n">
        <f aca="false">Sens_Calc!$C$263</f>
        <v>41.9132662023385</v>
      </c>
      <c r="D6" s="40" t="n">
        <f aca="false">Sens_Calc!$C$272</f>
        <v>0.153273840802179</v>
      </c>
      <c r="E6" s="39" t="n">
        <f aca="false">Sens_Calc!$C$250</f>
        <v>1.15411766895229</v>
      </c>
      <c r="F6" s="39" t="n">
        <f aca="false">Sens_Calc!$C$251</f>
        <v>1.74183727724914</v>
      </c>
      <c r="G6" s="50" t="n">
        <f aca="false">Sens_Calc!$C$266</f>
        <v>6.45328358525204</v>
      </c>
      <c r="H6" s="37" t="n">
        <f aca="false">MIN(Sens_Calc!C234:M234)</f>
        <v>18</v>
      </c>
      <c r="I6" s="49" t="str">
        <f aca="false">IF(SUMPRODUCT(ABS(Sens_Calc!C245:M245))&lt;0.001,"Balances","ERROR")</f>
        <v>Balances</v>
      </c>
    </row>
    <row r="7" customFormat="false" ht="15" hidden="false" customHeight="false" outlineLevel="0" collapsed="false">
      <c r="A7" s="49" t="str">
        <f aca="false">Inputs!$A$62</f>
        <v>Utilisation -10 points</v>
      </c>
      <c r="B7" s="40" t="n">
        <f aca="false">Sens_Calc!$C$403</f>
        <v>0.115565008063264</v>
      </c>
      <c r="C7" s="37" t="n">
        <f aca="false">Sens_Calc!$C$402</f>
        <v>22.2908439822224</v>
      </c>
      <c r="D7" s="40" t="n">
        <f aca="false">Sens_Calc!$C$411</f>
        <v>0.143261171184534</v>
      </c>
      <c r="E7" s="39" t="n">
        <f aca="false">Sens_Calc!$C$389</f>
        <v>1.12568965566825</v>
      </c>
      <c r="F7" s="39" t="n">
        <f aca="false">Sens_Calc!$C$390</f>
        <v>1.69504879123331</v>
      </c>
      <c r="G7" s="50" t="n">
        <f aca="false">Sens_Calc!$C$405</f>
        <v>6.60528605963433</v>
      </c>
      <c r="H7" s="37" t="n">
        <f aca="false">MIN(Sens_Calc!C373:M373)</f>
        <v>18</v>
      </c>
      <c r="I7" s="49" t="str">
        <f aca="false">IF(SUMPRODUCT(ABS(Sens_Calc!C384:M384))&lt;0.001,"Balances","ERROR")</f>
        <v>Balances</v>
      </c>
    </row>
    <row r="8" customFormat="false" ht="15" hidden="false" customHeight="false" outlineLevel="0" collapsed="false">
      <c r="A8" s="49" t="str">
        <f aca="false">Inputs!$A$63</f>
        <v>Operating costs +10%</v>
      </c>
      <c r="B8" s="40" t="n">
        <f aca="false">Sens_Calc!$C$542</f>
        <v>0.13884122434004</v>
      </c>
      <c r="C8" s="37" t="n">
        <f aca="false">Sens_Calc!$C$541</f>
        <v>117.611980196896</v>
      </c>
      <c r="D8" s="40" t="n">
        <f aca="false">Sens_Calc!$C$550</f>
        <v>0.188070099541721</v>
      </c>
      <c r="E8" s="39" t="n">
        <f aca="false">Sens_Calc!$C$528</f>
        <v>1.26124383348582</v>
      </c>
      <c r="F8" s="39" t="n">
        <f aca="false">Sens_Calc!$C$529</f>
        <v>1.91022289322668</v>
      </c>
      <c r="G8" s="50" t="n">
        <f aca="false">Sens_Calc!$C$544</f>
        <v>5.98833166067555</v>
      </c>
      <c r="H8" s="37" t="n">
        <f aca="false">MIN(Sens_Calc!C512:M512)</f>
        <v>18</v>
      </c>
      <c r="I8" s="49" t="str">
        <f aca="false">IF(SUMPRODUCT(ABS(Sens_Calc!C523:M523))&lt;0.001,"Balances","ERROR")</f>
        <v>Balances</v>
      </c>
    </row>
    <row r="9" customFormat="false" ht="15" hidden="false" customHeight="false" outlineLevel="0" collapsed="false">
      <c r="A9" s="49" t="str">
        <f aca="false">Inputs!$A$64</f>
        <v>Capital cost +10%</v>
      </c>
      <c r="B9" s="40" t="n">
        <f aca="false">Sens_Calc!$C$681</f>
        <v>0.131604272620971</v>
      </c>
      <c r="C9" s="37" t="n">
        <f aca="false">Sens_Calc!$C$680</f>
        <v>95.9119430416519</v>
      </c>
      <c r="D9" s="40" t="n">
        <f aca="false">Sens_Calc!$C$689</f>
        <v>0.175111237977085</v>
      </c>
      <c r="E9" s="39" t="n">
        <f aca="false">Sens_Calc!$C$667</f>
        <v>1.21813152669445</v>
      </c>
      <c r="F9" s="39" t="n">
        <f aca="false">Sens_Calc!$C$668</f>
        <v>1.84620844923649</v>
      </c>
      <c r="G9" s="50" t="n">
        <f aca="false">Sens_Calc!$C$683</f>
        <v>6.16318180979195</v>
      </c>
      <c r="H9" s="37" t="n">
        <f aca="false">MIN(Sens_Calc!C651:M651)</f>
        <v>18</v>
      </c>
      <c r="I9" s="49" t="str">
        <f aca="false">IF(SUMPRODUCT(ABS(Sens_Calc!C662:M662))&lt;0.001,"Balances","ERROR")</f>
        <v>Balances</v>
      </c>
    </row>
    <row r="10" customFormat="false" ht="15" hidden="false" customHeight="false" outlineLevel="0" collapsed="false">
      <c r="A10" s="49" t="str">
        <f aca="false">Inputs!$A$65</f>
        <v>Interest rate +2 points</v>
      </c>
      <c r="B10" s="40" t="n">
        <f aca="false">Sens_Calc!$C$820</f>
        <v>0.14959511384565</v>
      </c>
      <c r="C10" s="37" t="n">
        <f aca="false">Sens_Calc!$C$819</f>
        <v>163.083566100472</v>
      </c>
      <c r="D10" s="40" t="n">
        <f aca="false">Sens_Calc!$C$828</f>
        <v>0.194011319282547</v>
      </c>
      <c r="E10" s="39" t="n">
        <f aca="false">Sens_Calc!$C$806</f>
        <v>1.2433566043067</v>
      </c>
      <c r="F10" s="39" t="n">
        <f aca="false">Sens_Calc!$C$807</f>
        <v>1.87831765834464</v>
      </c>
      <c r="G10" s="50" t="n">
        <f aca="false">Sens_Calc!$C$822</f>
        <v>5.7357401129088</v>
      </c>
      <c r="H10" s="37" t="n">
        <f aca="false">MIN(Sens_Calc!C790:M790)</f>
        <v>18</v>
      </c>
      <c r="I10" s="49" t="str">
        <f aca="false">IF(SUMPRODUCT(ABS(Sens_Calc!C801:M801))&lt;0.001,"Balances","ERROR")</f>
        <v>Balances</v>
      </c>
    </row>
    <row r="11" customFormat="false" ht="15" hidden="false" customHeight="false" outlineLevel="0" collapsed="false">
      <c r="A11" s="49" t="str">
        <f aca="false">Inputs!$A$66</f>
        <v>Combined: rent -10%, costs +10%, capex +10%</v>
      </c>
      <c r="B11" s="40" t="n">
        <f aca="false">Sens_Calc!$C$959</f>
        <v>0.0933783970135596</v>
      </c>
      <c r="C11" s="37" t="n">
        <f aca="false">Sens_Calc!$C$958</f>
        <v>-70.7546339235798</v>
      </c>
      <c r="D11" s="40" t="n">
        <f aca="false">Sens_Calc!$C$967</f>
        <v>0.102245099653321</v>
      </c>
      <c r="E11" s="39" t="n">
        <f aca="false">Sens_Calc!$C$945</f>
        <v>1.03922014987249</v>
      </c>
      <c r="F11" s="39" t="n">
        <f aca="false">Sens_Calc!$C$946</f>
        <v>1.50366537185993</v>
      </c>
      <c r="G11" s="50" t="n">
        <f aca="false">Sens_Calc!$C$961</f>
        <v>7.28959981728715</v>
      </c>
      <c r="H11" s="37" t="n">
        <f aca="false">MIN(Sens_Calc!C929:M929)</f>
        <v>18</v>
      </c>
      <c r="I11" s="49" t="str">
        <f aca="false">IF(SUMPRODUCT(ABS(Sens_Calc!C940:M940))&lt;0.001,"Balances","ERROR")</f>
        <v>Balances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68"/>
    <pageSetUpPr fitToPage="tru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0"/>
    <col collapsed="false" customWidth="true" hidden="false" outlineLevel="0" max="13" min="3" style="0" width="11.5"/>
  </cols>
  <sheetData>
    <row r="1" customFormat="false" ht="17.35" hidden="false" customHeight="false" outlineLevel="0" collapsed="false">
      <c r="A1" s="20" t="s">
        <v>250</v>
      </c>
    </row>
    <row r="2" customFormat="false" ht="15" hidden="false" customHeight="false" outlineLevel="0" collapsed="false">
      <c r="A2" s="35" t="s">
        <v>123</v>
      </c>
    </row>
    <row r="3" customFormat="false" ht="15" hidden="false" customHeight="false" outlineLevel="0" collapsed="false">
      <c r="A3" s="4" t="s">
        <v>124</v>
      </c>
      <c r="B3" s="4" t="s">
        <v>50</v>
      </c>
      <c r="C3" s="6" t="s">
        <v>125</v>
      </c>
      <c r="D3" s="6" t="s">
        <v>126</v>
      </c>
      <c r="E3" s="6" t="s">
        <v>127</v>
      </c>
      <c r="F3" s="6" t="s">
        <v>128</v>
      </c>
      <c r="G3" s="6" t="s">
        <v>129</v>
      </c>
      <c r="H3" s="6" t="s">
        <v>130</v>
      </c>
      <c r="I3" s="6" t="s">
        <v>131</v>
      </c>
      <c r="J3" s="6" t="s">
        <v>132</v>
      </c>
      <c r="K3" s="6" t="s">
        <v>133</v>
      </c>
      <c r="L3" s="6" t="s">
        <v>134</v>
      </c>
      <c r="M3" s="6" t="s">
        <v>135</v>
      </c>
    </row>
    <row r="4" customFormat="false" ht="15" hidden="false" customHeight="false" outlineLevel="0" collapsed="false">
      <c r="A4" s="26" t="s">
        <v>251</v>
      </c>
      <c r="C4" s="51" t="n">
        <f aca="false">ROUND(BalanceSheet!C8-BalanceSheet!C13,6)</f>
        <v>0</v>
      </c>
      <c r="D4" s="51" t="n">
        <f aca="false">ROUND(BalanceSheet!D8-BalanceSheet!D13,6)</f>
        <v>0</v>
      </c>
      <c r="E4" s="51" t="n">
        <f aca="false">ROUND(BalanceSheet!E8-BalanceSheet!E13,6)</f>
        <v>0</v>
      </c>
      <c r="F4" s="51" t="n">
        <f aca="false">ROUND(BalanceSheet!F8-BalanceSheet!F13,6)</f>
        <v>0</v>
      </c>
      <c r="G4" s="51" t="n">
        <f aca="false">ROUND(BalanceSheet!G8-BalanceSheet!G13,6)</f>
        <v>0</v>
      </c>
      <c r="H4" s="51" t="n">
        <f aca="false">ROUND(BalanceSheet!H8-BalanceSheet!H13,6)</f>
        <v>0</v>
      </c>
      <c r="I4" s="51" t="n">
        <f aca="false">ROUND(BalanceSheet!I8-BalanceSheet!I13,6)</f>
        <v>0</v>
      </c>
      <c r="J4" s="51" t="n">
        <f aca="false">ROUND(BalanceSheet!J8-BalanceSheet!J13,6)</f>
        <v>0</v>
      </c>
      <c r="K4" s="51" t="n">
        <f aca="false">ROUND(BalanceSheet!K8-BalanceSheet!K13,6)</f>
        <v>0</v>
      </c>
      <c r="L4" s="51" t="n">
        <f aca="false">ROUND(BalanceSheet!L8-BalanceSheet!L13,6)</f>
        <v>0</v>
      </c>
      <c r="M4" s="51" t="n">
        <f aca="false">ROUND(BalanceSheet!M8-BalanceSheet!M13,6)</f>
        <v>0</v>
      </c>
    </row>
    <row r="5" customFormat="false" ht="15" hidden="false" customHeight="false" outlineLevel="0" collapsed="false">
      <c r="A5" s="26" t="s">
        <v>252</v>
      </c>
      <c r="C5" s="51" t="n">
        <f aca="false">ROUND(CashFlow!C18-BalanceSheet!C7,6)</f>
        <v>0</v>
      </c>
      <c r="D5" s="51" t="n">
        <f aca="false">ROUND(CashFlow!D18-BalanceSheet!D7,6)</f>
        <v>0</v>
      </c>
      <c r="E5" s="51" t="n">
        <f aca="false">ROUND(CashFlow!E18-BalanceSheet!E7,6)</f>
        <v>0</v>
      </c>
      <c r="F5" s="51" t="n">
        <f aca="false">ROUND(CashFlow!F18-BalanceSheet!F7,6)</f>
        <v>0</v>
      </c>
      <c r="G5" s="51" t="n">
        <f aca="false">ROUND(CashFlow!G18-BalanceSheet!G7,6)</f>
        <v>0</v>
      </c>
      <c r="H5" s="51" t="n">
        <f aca="false">ROUND(CashFlow!H18-BalanceSheet!H7,6)</f>
        <v>0</v>
      </c>
      <c r="I5" s="51" t="n">
        <f aca="false">ROUND(CashFlow!I18-BalanceSheet!I7,6)</f>
        <v>0</v>
      </c>
      <c r="J5" s="51" t="n">
        <f aca="false">ROUND(CashFlow!J18-BalanceSheet!J7,6)</f>
        <v>0</v>
      </c>
      <c r="K5" s="51" t="n">
        <f aca="false">ROUND(CashFlow!K18-BalanceSheet!K7,6)</f>
        <v>0</v>
      </c>
      <c r="L5" s="51" t="n">
        <f aca="false">ROUND(CashFlow!L18-BalanceSheet!L7,6)</f>
        <v>0</v>
      </c>
      <c r="M5" s="51" t="n">
        <f aca="false">ROUND(CashFlow!M18-BalanceSheet!M7,6)</f>
        <v>0</v>
      </c>
    </row>
    <row r="6" customFormat="false" ht="15" hidden="false" customHeight="false" outlineLevel="0" collapsed="false">
      <c r="A6" s="26" t="s">
        <v>253</v>
      </c>
      <c r="C6" s="51" t="n">
        <f aca="false">ROUND(CashFlow!C18-SUM(CashFlow!C16),6)</f>
        <v>0</v>
      </c>
      <c r="D6" s="51" t="n">
        <f aca="false">ROUND(CashFlow!D18-SUM(CashFlow!C16:D16),6)</f>
        <v>0</v>
      </c>
      <c r="E6" s="51" t="n">
        <f aca="false">ROUND(CashFlow!E18-SUM(CashFlow!C16:E16),6)</f>
        <v>0</v>
      </c>
      <c r="F6" s="51" t="n">
        <f aca="false">ROUND(CashFlow!F18-SUM(CashFlow!C16:F16),6)</f>
        <v>0</v>
      </c>
      <c r="G6" s="51" t="n">
        <f aca="false">ROUND(CashFlow!G18-SUM(CashFlow!C16:G16),6)</f>
        <v>0</v>
      </c>
      <c r="H6" s="51" t="n">
        <f aca="false">ROUND(CashFlow!H18-SUM(CashFlow!C16:H16),6)</f>
        <v>0</v>
      </c>
      <c r="I6" s="51" t="n">
        <f aca="false">ROUND(CashFlow!I18-SUM(CashFlow!C16:I16),6)</f>
        <v>0</v>
      </c>
      <c r="J6" s="51" t="n">
        <f aca="false">ROUND(CashFlow!J18-SUM(CashFlow!C16:J16),6)</f>
        <v>0</v>
      </c>
      <c r="K6" s="51" t="n">
        <f aca="false">ROUND(CashFlow!K18-SUM(CashFlow!C16:K16),6)</f>
        <v>0</v>
      </c>
      <c r="L6" s="51" t="n">
        <f aca="false">ROUND(CashFlow!L18-SUM(CashFlow!C16:L16),6)</f>
        <v>0</v>
      </c>
      <c r="M6" s="51" t="n">
        <f aca="false">ROUND(CashFlow!M18-SUM(CashFlow!C16:M16),6)</f>
        <v>0</v>
      </c>
    </row>
    <row r="7" customFormat="false" ht="15" hidden="false" customHeight="false" outlineLevel="0" collapsed="false">
      <c r="A7" s="26" t="s">
        <v>254</v>
      </c>
      <c r="C7" s="51" t="n">
        <f aca="false">ROUND(Loan!C10-(SUM(Loan!C6)-SUM(Loan!C9)),6)</f>
        <v>0</v>
      </c>
      <c r="D7" s="51" t="n">
        <f aca="false">ROUND(Loan!D10-(SUM(Loan!C6:D6)-SUM(Loan!C9:D9)),6)</f>
        <v>0</v>
      </c>
      <c r="E7" s="51" t="n">
        <f aca="false">ROUND(Loan!E10-(SUM(Loan!C6:E6)-SUM(Loan!C9:E9)),6)</f>
        <v>0</v>
      </c>
      <c r="F7" s="51" t="n">
        <f aca="false">ROUND(Loan!F10-(SUM(Loan!C6:F6)-SUM(Loan!C9:F9)),6)</f>
        <v>0</v>
      </c>
      <c r="G7" s="51" t="n">
        <f aca="false">ROUND(Loan!G10-(SUM(Loan!C6:G6)-SUM(Loan!C9:G9)),6)</f>
        <v>0</v>
      </c>
      <c r="H7" s="51" t="n">
        <f aca="false">ROUND(Loan!H10-(SUM(Loan!C6:H6)-SUM(Loan!C9:H9)),6)</f>
        <v>0</v>
      </c>
      <c r="I7" s="51" t="n">
        <f aca="false">ROUND(Loan!I10-(SUM(Loan!C6:I6)-SUM(Loan!C9:I9)),6)</f>
        <v>0</v>
      </c>
      <c r="J7" s="51" t="n">
        <f aca="false">ROUND(Loan!J10-(SUM(Loan!C6:J6)-SUM(Loan!C9:J9)),6)</f>
        <v>0</v>
      </c>
      <c r="K7" s="51" t="n">
        <f aca="false">ROUND(Loan!K10-(SUM(Loan!C6:K6)-SUM(Loan!C9:K9)),6)</f>
        <v>0</v>
      </c>
      <c r="L7" s="51" t="n">
        <f aca="false">ROUND(Loan!L10-(SUM(Loan!C6:L6)-SUM(Loan!C9:L9)),6)</f>
        <v>0</v>
      </c>
      <c r="M7" s="51" t="n">
        <f aca="false">ROUND(Loan!M10-(SUM(Loan!C6:M6)-SUM(Loan!C9:M9)),6)</f>
        <v>0</v>
      </c>
    </row>
    <row r="8" customFormat="false" ht="15" hidden="false" customHeight="false" outlineLevel="0" collapsed="false">
      <c r="A8" s="26" t="s">
        <v>255</v>
      </c>
      <c r="C8" s="51" t="n">
        <f aca="false">ROUND(BalanceSheet!C10-SUM(CashFlow!C5),6)</f>
        <v>0</v>
      </c>
      <c r="D8" s="51" t="n">
        <f aca="false">ROUND(BalanceSheet!D10-SUM(CashFlow!C5:D5),6)</f>
        <v>0</v>
      </c>
      <c r="E8" s="51" t="n">
        <f aca="false">ROUND(BalanceSheet!E10-SUM(CashFlow!C5:E5),6)</f>
        <v>0</v>
      </c>
      <c r="F8" s="51" t="n">
        <f aca="false">ROUND(BalanceSheet!F10-SUM(CashFlow!C5:F5),6)</f>
        <v>0</v>
      </c>
      <c r="G8" s="51" t="n">
        <f aca="false">ROUND(BalanceSheet!G10-SUM(CashFlow!C5:G5),6)</f>
        <v>0</v>
      </c>
      <c r="H8" s="51" t="n">
        <f aca="false">ROUND(BalanceSheet!H10-SUM(CashFlow!C5:H5),6)</f>
        <v>0</v>
      </c>
      <c r="I8" s="51" t="n">
        <f aca="false">ROUND(BalanceSheet!I10-SUM(CashFlow!C5:I5),6)</f>
        <v>0</v>
      </c>
      <c r="J8" s="51" t="n">
        <f aca="false">ROUND(BalanceSheet!J10-SUM(CashFlow!C5:J5),6)</f>
        <v>0</v>
      </c>
      <c r="K8" s="51" t="n">
        <f aca="false">ROUND(BalanceSheet!K10-SUM(CashFlow!C5:K5),6)</f>
        <v>0</v>
      </c>
      <c r="L8" s="51" t="n">
        <f aca="false">ROUND(BalanceSheet!L10-SUM(CashFlow!C5:L5),6)</f>
        <v>0</v>
      </c>
      <c r="M8" s="51" t="n">
        <f aca="false">ROUND(BalanceSheet!M10-SUM(CashFlow!C5:M5),6)</f>
        <v>0</v>
      </c>
    </row>
    <row r="9" customFormat="false" ht="15" hidden="false" customHeight="false" outlineLevel="0" collapsed="false">
      <c r="A9" s="26" t="s">
        <v>256</v>
      </c>
      <c r="C9" s="51" t="n">
        <f aca="false">ROUND(Capex_Funding!C21-Capex_Funding!C16,6)</f>
        <v>0</v>
      </c>
    </row>
    <row r="10" customFormat="false" ht="15" hidden="false" customHeight="false" outlineLevel="0" collapsed="false">
      <c r="A10" s="26" t="s">
        <v>257</v>
      </c>
      <c r="C10" s="51" t="n">
        <f aca="false">ROUND(Loan!M10,6)</f>
        <v>0</v>
      </c>
    </row>
    <row r="11" customFormat="false" ht="15" hidden="false" customHeight="false" outlineLevel="0" collapsed="false">
      <c r="A11" s="26" t="s">
        <v>258</v>
      </c>
      <c r="C11" s="51" t="n">
        <f aca="false">ROUND(Sens_Calc!$C$124-Returns!C21,6)</f>
        <v>0</v>
      </c>
    </row>
    <row r="12" customFormat="false" ht="15" hidden="false" customHeight="false" outlineLevel="0" collapsed="false">
      <c r="A12" s="26" t="s">
        <v>259</v>
      </c>
      <c r="C12" s="51" t="n">
        <f aca="false">ROUND(Sens_Calc!$C$125-Returns!C22,9)</f>
        <v>0</v>
      </c>
    </row>
    <row r="13" customFormat="false" ht="15" hidden="false" customHeight="false" outlineLevel="0" collapsed="false">
      <c r="A13" s="26" t="s">
        <v>260</v>
      </c>
      <c r="C13" s="51" t="n">
        <f aca="false">ROUND(Sens_Calc!$C$111-Returns!C8,9)</f>
        <v>0</v>
      </c>
    </row>
    <row r="14" customFormat="false" ht="15" hidden="false" customHeight="false" outlineLevel="0" collapsed="false">
      <c r="A14" s="26" t="s">
        <v>261</v>
      </c>
      <c r="C14" s="51" t="n">
        <f aca="false">MIN(0,MIN(CashFlow!C18:M18))</f>
        <v>0</v>
      </c>
    </row>
    <row r="16" customFormat="false" ht="15" hidden="false" customHeight="false" outlineLevel="0" collapsed="false">
      <c r="A16" s="52" t="s">
        <v>262</v>
      </c>
      <c r="C16" s="53" t="str">
        <f aca="false">IF(SUMPRODUCT(ABS(C4:M4))+SUMPRODUCT(ABS(C5:M5))+SUMPRODUCT(ABS(C6:M6))+SUMPRODUCT(ABS(C7:M7))+SUMPRODUCT(ABS(C8:M8))+SUMPRODUCT(ABS(C9:M9))+SUMPRODUCT(ABS(C10:M10))+SUMPRODUCT(ABS(C11:M11))+SUMPRODUCT(ABS(C12:M12))+SUMPRODUCT(ABS(C13:M13))+SUMPRODUCT(ABS(C14:M14))&lt;0.001,"ALL CHECKS OK","CHECK ERRORS")</f>
        <v>ALL CHECKS OK</v>
      </c>
    </row>
    <row r="17" customFormat="false" ht="15" hidden="false" customHeight="false" outlineLevel="0" collapsed="false">
      <c r="A17" s="9" t="s">
        <v>263</v>
      </c>
      <c r="C17" s="0" t="str">
        <f aca="false">IF(Returns!C8&gt;=Inputs!$C$53,"YES","NO")</f>
        <v>YES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6A6A6"/>
    <pageSetUpPr fitToPage="true"/>
  </sheetPr>
  <dimension ref="A1:M9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0"/>
    <col collapsed="false" customWidth="true" hidden="false" outlineLevel="0" max="13" min="3" style="0" width="11.5"/>
  </cols>
  <sheetData>
    <row r="1" customFormat="false" ht="17.35" hidden="false" customHeight="false" outlineLevel="0" collapsed="false">
      <c r="A1" s="20" t="s">
        <v>264</v>
      </c>
    </row>
    <row r="2" customFormat="false" ht="15" hidden="false" customHeight="false" outlineLevel="0" collapsed="false">
      <c r="A2" s="35" t="s">
        <v>123</v>
      </c>
    </row>
    <row r="3" customFormat="false" ht="15" hidden="false" customHeight="false" outlineLevel="0" collapsed="false">
      <c r="A3" s="4" t="s">
        <v>124</v>
      </c>
      <c r="B3" s="4" t="s">
        <v>50</v>
      </c>
      <c r="C3" s="6" t="s">
        <v>125</v>
      </c>
      <c r="D3" s="6" t="s">
        <v>126</v>
      </c>
      <c r="E3" s="6" t="s">
        <v>127</v>
      </c>
      <c r="F3" s="6" t="s">
        <v>128</v>
      </c>
      <c r="G3" s="6" t="s">
        <v>129</v>
      </c>
      <c r="H3" s="6" t="s">
        <v>130</v>
      </c>
      <c r="I3" s="6" t="s">
        <v>131</v>
      </c>
      <c r="J3" s="6" t="s">
        <v>132</v>
      </c>
      <c r="K3" s="6" t="s">
        <v>133</v>
      </c>
      <c r="L3" s="6" t="s">
        <v>134</v>
      </c>
      <c r="M3" s="6" t="s">
        <v>135</v>
      </c>
    </row>
    <row r="4" customFormat="false" ht="15" hidden="false" customHeight="false" outlineLevel="0" collapsed="false">
      <c r="A4" s="24" t="s">
        <v>265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customFormat="false" ht="15" hidden="false" customHeight="false" outlineLevel="0" collapsed="false">
      <c r="A5" s="26" t="s">
        <v>54</v>
      </c>
      <c r="B5" s="36" t="s">
        <v>55</v>
      </c>
      <c r="C5" s="37" t="n">
        <f aca="false">Inputs!$C$10*(1+Inputs!$F$60)</f>
        <v>40</v>
      </c>
    </row>
    <row r="6" customFormat="false" ht="15" hidden="false" customHeight="false" outlineLevel="0" collapsed="false">
      <c r="A6" s="26" t="s">
        <v>56</v>
      </c>
      <c r="B6" s="36" t="s">
        <v>55</v>
      </c>
      <c r="C6" s="37" t="n">
        <f aca="false">Inputs!$C$11*(1+Inputs!$F$60)</f>
        <v>230</v>
      </c>
    </row>
    <row r="7" customFormat="false" ht="15" hidden="false" customHeight="false" outlineLevel="0" collapsed="false">
      <c r="A7" s="26" t="s">
        <v>57</v>
      </c>
      <c r="B7" s="36" t="s">
        <v>55</v>
      </c>
      <c r="C7" s="37" t="n">
        <f aca="false">Inputs!$C$12*(1+Inputs!$F$60)</f>
        <v>250</v>
      </c>
    </row>
    <row r="8" customFormat="false" ht="15" hidden="false" customHeight="false" outlineLevel="0" collapsed="false">
      <c r="A8" s="26" t="s">
        <v>58</v>
      </c>
      <c r="B8" s="36" t="s">
        <v>55</v>
      </c>
      <c r="C8" s="37" t="n">
        <f aca="false">Inputs!$C$13*(1+Inputs!$F$60)</f>
        <v>95</v>
      </c>
    </row>
    <row r="9" customFormat="false" ht="15" hidden="false" customHeight="false" outlineLevel="0" collapsed="false">
      <c r="A9" s="26" t="s">
        <v>59</v>
      </c>
      <c r="B9" s="36" t="s">
        <v>55</v>
      </c>
      <c r="C9" s="37" t="n">
        <f aca="false">Inputs!$C$14*(1+Inputs!$F$60)</f>
        <v>48</v>
      </c>
    </row>
    <row r="10" customFormat="false" ht="15" hidden="false" customHeight="false" outlineLevel="0" collapsed="false">
      <c r="A10" s="26" t="s">
        <v>60</v>
      </c>
      <c r="B10" s="36" t="s">
        <v>55</v>
      </c>
      <c r="C10" s="37" t="n">
        <f aca="false">Inputs!$C$15*(1+Inputs!$F$60)</f>
        <v>36</v>
      </c>
    </row>
    <row r="11" customFormat="false" ht="15" hidden="false" customHeight="false" outlineLevel="0" collapsed="false">
      <c r="A11" s="9" t="s">
        <v>137</v>
      </c>
      <c r="B11" s="36" t="s">
        <v>55</v>
      </c>
      <c r="C11" s="38" t="n">
        <f aca="false">SUM(C6:C10)</f>
        <v>659</v>
      </c>
    </row>
    <row r="12" customFormat="false" ht="15" hidden="false" customHeight="false" outlineLevel="0" collapsed="false">
      <c r="A12" s="26" t="s">
        <v>138</v>
      </c>
      <c r="B12" s="36" t="s">
        <v>55</v>
      </c>
      <c r="C12" s="37" t="n">
        <f aca="false">C11*Inputs!$C$16</f>
        <v>32.95</v>
      </c>
    </row>
    <row r="13" customFormat="false" ht="15" hidden="false" customHeight="false" outlineLevel="0" collapsed="false">
      <c r="A13" s="26" t="s">
        <v>63</v>
      </c>
      <c r="B13" s="36" t="s">
        <v>55</v>
      </c>
      <c r="C13" s="37" t="n">
        <f aca="false">Inputs!$C$17*(1+Inputs!$F$60)</f>
        <v>22</v>
      </c>
    </row>
    <row r="14" customFormat="false" ht="15" hidden="false" customHeight="false" outlineLevel="0" collapsed="false">
      <c r="A14" s="9" t="s">
        <v>139</v>
      </c>
      <c r="B14" s="36" t="s">
        <v>55</v>
      </c>
      <c r="C14" s="38" t="n">
        <f aca="false">C5+C11+C12+C13</f>
        <v>753.95</v>
      </c>
    </row>
    <row r="15" customFormat="false" ht="15" hidden="false" customHeight="false" outlineLevel="0" collapsed="false">
      <c r="A15" s="26" t="s">
        <v>64</v>
      </c>
      <c r="B15" s="36" t="s">
        <v>55</v>
      </c>
      <c r="C15" s="37" t="n">
        <f aca="false">Inputs!$C$18</f>
        <v>18</v>
      </c>
    </row>
    <row r="16" customFormat="false" ht="15" hidden="false" customHeight="false" outlineLevel="0" collapsed="false">
      <c r="A16" s="9" t="s">
        <v>15</v>
      </c>
      <c r="B16" s="36" t="s">
        <v>55</v>
      </c>
      <c r="C16" s="38" t="n">
        <f aca="false">C14+C15</f>
        <v>771.95</v>
      </c>
    </row>
    <row r="18" customFormat="false" ht="15" hidden="false" customHeight="false" outlineLevel="0" collapsed="false">
      <c r="A18" s="24" t="s">
        <v>65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customFormat="false" ht="15" hidden="false" customHeight="false" outlineLevel="0" collapsed="false">
      <c r="A19" s="26" t="s">
        <v>17</v>
      </c>
      <c r="B19" s="36" t="s">
        <v>55</v>
      </c>
      <c r="C19" s="37" t="n">
        <f aca="false">C16*Inputs!$C$20</f>
        <v>463.17</v>
      </c>
    </row>
    <row r="20" customFormat="false" ht="15" hidden="false" customHeight="false" outlineLevel="0" collapsed="false">
      <c r="A20" s="26" t="s">
        <v>19</v>
      </c>
      <c r="B20" s="36" t="s">
        <v>55</v>
      </c>
      <c r="C20" s="37" t="n">
        <f aca="false">C16-C19</f>
        <v>308.78</v>
      </c>
    </row>
    <row r="21" customFormat="false" ht="15" hidden="false" customHeight="false" outlineLevel="0" collapsed="false">
      <c r="A21" s="9" t="s">
        <v>140</v>
      </c>
      <c r="B21" s="36" t="s">
        <v>55</v>
      </c>
      <c r="C21" s="38" t="n">
        <f aca="false">C19+C20</f>
        <v>771.95</v>
      </c>
    </row>
    <row r="22" customFormat="false" ht="15" hidden="false" customHeight="false" outlineLevel="0" collapsed="false">
      <c r="A22" s="26" t="s">
        <v>21</v>
      </c>
      <c r="B22" s="36" t="s">
        <v>104</v>
      </c>
      <c r="C22" s="39" t="n">
        <f aca="false">C19/C20</f>
        <v>1.5</v>
      </c>
    </row>
    <row r="24" customFormat="false" ht="15" hidden="false" customHeight="false" outlineLevel="0" collapsed="false">
      <c r="A24" s="24" t="s">
        <v>141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customFormat="false" ht="15" hidden="false" customHeight="false" outlineLevel="0" collapsed="false">
      <c r="A25" s="26" t="s">
        <v>142</v>
      </c>
      <c r="B25" s="36" t="s">
        <v>55</v>
      </c>
      <c r="C25" s="37" t="n">
        <f aca="false">C6*(1+Inputs!$C$16)</f>
        <v>241.5</v>
      </c>
    </row>
    <row r="26" customFormat="false" ht="15" hidden="false" customHeight="false" outlineLevel="0" collapsed="false">
      <c r="A26" s="26" t="s">
        <v>143</v>
      </c>
      <c r="B26" s="36" t="s">
        <v>55</v>
      </c>
      <c r="C26" s="37" t="n">
        <f aca="false">C7+C8+C9+C10</f>
        <v>429</v>
      </c>
    </row>
    <row r="27" customFormat="false" ht="15" hidden="false" customHeight="false" outlineLevel="0" collapsed="false">
      <c r="A27" s="26" t="s">
        <v>144</v>
      </c>
      <c r="B27" s="36" t="s">
        <v>55</v>
      </c>
      <c r="C27" s="37" t="n">
        <f aca="false">C26*(1+Inputs!$C$16)</f>
        <v>450.45</v>
      </c>
    </row>
    <row r="28" customFormat="false" ht="15" hidden="false" customHeight="false" outlineLevel="0" collapsed="false">
      <c r="A28" s="24" t="s">
        <v>266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</row>
    <row r="29" customFormat="false" ht="15" hidden="false" customHeight="false" outlineLevel="0" collapsed="false">
      <c r="A29" s="26" t="s">
        <v>147</v>
      </c>
      <c r="B29" s="36" t="s">
        <v>62</v>
      </c>
      <c r="D29" s="40" t="n">
        <f aca="false">MAX(0,MIN(1,Inputs!D$56+Inputs!$D$60))</f>
        <v>0.55</v>
      </c>
      <c r="E29" s="40" t="n">
        <f aca="false">MAX(0,MIN(1,Inputs!E$56+Inputs!$D$60))</f>
        <v>0.65</v>
      </c>
      <c r="F29" s="40" t="n">
        <f aca="false">MAX(0,MIN(1,Inputs!F$56+Inputs!$D$60))</f>
        <v>0.75</v>
      </c>
      <c r="G29" s="40" t="n">
        <f aca="false">MAX(0,MIN(1,Inputs!G$56+Inputs!$D$60))</f>
        <v>0.8</v>
      </c>
      <c r="H29" s="40" t="n">
        <f aca="false">MAX(0,MIN(1,Inputs!H$56+Inputs!$D$60))</f>
        <v>0.8</v>
      </c>
      <c r="I29" s="40" t="n">
        <f aca="false">MAX(0,MIN(1,Inputs!I$56+Inputs!$D$60))</f>
        <v>0.82</v>
      </c>
      <c r="J29" s="40" t="n">
        <f aca="false">MAX(0,MIN(1,Inputs!J$56+Inputs!$D$60))</f>
        <v>0.82</v>
      </c>
      <c r="K29" s="40" t="n">
        <f aca="false">MAX(0,MIN(1,Inputs!K$56+Inputs!$D$60))</f>
        <v>0.82</v>
      </c>
      <c r="L29" s="40" t="n">
        <f aca="false">MAX(0,MIN(1,Inputs!L$56+Inputs!$D$60))</f>
        <v>0.82</v>
      </c>
      <c r="M29" s="40" t="n">
        <f aca="false">MAX(0,MIN(1,Inputs!M$56+Inputs!$D$60))</f>
        <v>0.82</v>
      </c>
    </row>
    <row r="30" customFormat="false" ht="15" hidden="false" customHeight="false" outlineLevel="0" collapsed="false">
      <c r="A30" s="26" t="s">
        <v>148</v>
      </c>
      <c r="B30" s="36" t="s">
        <v>72</v>
      </c>
      <c r="D30" s="41" t="n">
        <f aca="false">Inputs!$C$25*D29</f>
        <v>2750</v>
      </c>
      <c r="E30" s="41" t="n">
        <f aca="false">Inputs!$C$25*E29</f>
        <v>3250</v>
      </c>
      <c r="F30" s="41" t="n">
        <f aca="false">Inputs!$C$25*F29</f>
        <v>3750</v>
      </c>
      <c r="G30" s="41" t="n">
        <f aca="false">Inputs!$C$25*G29</f>
        <v>4000</v>
      </c>
      <c r="H30" s="41" t="n">
        <f aca="false">Inputs!$C$25*H29</f>
        <v>4000</v>
      </c>
      <c r="I30" s="41" t="n">
        <f aca="false">Inputs!$C$25*I29</f>
        <v>4100</v>
      </c>
      <c r="J30" s="41" t="n">
        <f aca="false">Inputs!$C$25*J29</f>
        <v>4100</v>
      </c>
      <c r="K30" s="41" t="n">
        <f aca="false">Inputs!$C$25*K29</f>
        <v>4100</v>
      </c>
      <c r="L30" s="41" t="n">
        <f aca="false">Inputs!$C$25*L29</f>
        <v>4100</v>
      </c>
      <c r="M30" s="41" t="n">
        <f aca="false">Inputs!$C$25*M29</f>
        <v>4100</v>
      </c>
    </row>
    <row r="31" customFormat="false" ht="15" hidden="false" customHeight="false" outlineLevel="0" collapsed="false">
      <c r="A31" s="26" t="s">
        <v>149</v>
      </c>
      <c r="B31" s="36" t="s">
        <v>74</v>
      </c>
      <c r="D31" s="42" t="n">
        <f aca="false">Inputs!$C$26*(1+Inputs!$C$27)^(Inputs!D$6-1)*(1+Inputs!$C$60)</f>
        <v>6000</v>
      </c>
      <c r="E31" s="42" t="n">
        <f aca="false">Inputs!$C$26*(1+Inputs!$C$27)^(Inputs!E$6-1)*(1+Inputs!$C$60)</f>
        <v>6240</v>
      </c>
      <c r="F31" s="42" t="n">
        <f aca="false">Inputs!$C$26*(1+Inputs!$C$27)^(Inputs!F$6-1)*(1+Inputs!$C$60)</f>
        <v>6489.6</v>
      </c>
      <c r="G31" s="42" t="n">
        <f aca="false">Inputs!$C$26*(1+Inputs!$C$27)^(Inputs!G$6-1)*(1+Inputs!$C$60)</f>
        <v>6749.184</v>
      </c>
      <c r="H31" s="42" t="n">
        <f aca="false">Inputs!$C$26*(1+Inputs!$C$27)^(Inputs!H$6-1)*(1+Inputs!$C$60)</f>
        <v>7019.15136</v>
      </c>
      <c r="I31" s="42" t="n">
        <f aca="false">Inputs!$C$26*(1+Inputs!$C$27)^(Inputs!I$6-1)*(1+Inputs!$C$60)</f>
        <v>7299.9174144</v>
      </c>
      <c r="J31" s="42" t="n">
        <f aca="false">Inputs!$C$26*(1+Inputs!$C$27)^(Inputs!J$6-1)*(1+Inputs!$C$60)</f>
        <v>7591.914110976</v>
      </c>
      <c r="K31" s="42" t="n">
        <f aca="false">Inputs!$C$26*(1+Inputs!$C$27)^(Inputs!K$6-1)*(1+Inputs!$C$60)</f>
        <v>7895.59067541504</v>
      </c>
      <c r="L31" s="42" t="n">
        <f aca="false">Inputs!$C$26*(1+Inputs!$C$27)^(Inputs!L$6-1)*(1+Inputs!$C$60)</f>
        <v>8211.41430243164</v>
      </c>
      <c r="M31" s="42" t="n">
        <f aca="false">Inputs!$C$26*(1+Inputs!$C$27)^(Inputs!M$6-1)*(1+Inputs!$C$60)</f>
        <v>8539.87087452891</v>
      </c>
    </row>
    <row r="32" customFormat="false" ht="15" hidden="false" customHeight="false" outlineLevel="0" collapsed="false">
      <c r="A32" s="26" t="s">
        <v>150</v>
      </c>
      <c r="B32" s="36" t="s">
        <v>55</v>
      </c>
      <c r="D32" s="37" t="n">
        <f aca="false">D30*D31/Inputs!$C$48</f>
        <v>165</v>
      </c>
      <c r="E32" s="37" t="n">
        <f aca="false">E30*E31/Inputs!$C$48</f>
        <v>202.8</v>
      </c>
      <c r="F32" s="37" t="n">
        <f aca="false">F30*F31/Inputs!$C$48</f>
        <v>243.36</v>
      </c>
      <c r="G32" s="37" t="n">
        <f aca="false">G30*G31/Inputs!$C$48</f>
        <v>269.96736</v>
      </c>
      <c r="H32" s="37" t="n">
        <f aca="false">H30*H31/Inputs!$C$48</f>
        <v>280.7660544</v>
      </c>
      <c r="I32" s="37" t="n">
        <f aca="false">I30*I31/Inputs!$C$48</f>
        <v>299.2966139904</v>
      </c>
      <c r="J32" s="37" t="n">
        <f aca="false">J30*J31/Inputs!$C$48</f>
        <v>311.268478550016</v>
      </c>
      <c r="K32" s="37" t="n">
        <f aca="false">K30*K31/Inputs!$C$48</f>
        <v>323.719217692017</v>
      </c>
      <c r="L32" s="37" t="n">
        <f aca="false">L30*L31/Inputs!$C$48</f>
        <v>336.667986399697</v>
      </c>
      <c r="M32" s="37" t="n">
        <f aca="false">M30*M31/Inputs!$C$48</f>
        <v>350.134705855685</v>
      </c>
    </row>
    <row r="33" customFormat="false" ht="15" hidden="false" customHeight="false" outlineLevel="0" collapsed="false">
      <c r="A33" s="26" t="s">
        <v>151</v>
      </c>
      <c r="B33" s="36" t="s">
        <v>55</v>
      </c>
      <c r="D33" s="37" t="n">
        <f aca="false">D32*Inputs!$C$28</f>
        <v>16.5</v>
      </c>
      <c r="E33" s="37" t="n">
        <f aca="false">E32*Inputs!$C$28</f>
        <v>20.28</v>
      </c>
      <c r="F33" s="37" t="n">
        <f aca="false">F32*Inputs!$C$28</f>
        <v>24.336</v>
      </c>
      <c r="G33" s="37" t="n">
        <f aca="false">G32*Inputs!$C$28</f>
        <v>26.996736</v>
      </c>
      <c r="H33" s="37" t="n">
        <f aca="false">H32*Inputs!$C$28</f>
        <v>28.07660544</v>
      </c>
      <c r="I33" s="37" t="n">
        <f aca="false">I32*Inputs!$C$28</f>
        <v>29.92966139904</v>
      </c>
      <c r="J33" s="37" t="n">
        <f aca="false">J32*Inputs!$C$28</f>
        <v>31.1268478550016</v>
      </c>
      <c r="K33" s="37" t="n">
        <f aca="false">K32*Inputs!$C$28</f>
        <v>32.3719217692017</v>
      </c>
      <c r="L33" s="37" t="n">
        <f aca="false">L32*Inputs!$C$28</f>
        <v>33.6667986399697</v>
      </c>
      <c r="M33" s="37" t="n">
        <f aca="false">M32*Inputs!$C$28</f>
        <v>35.0134705855685</v>
      </c>
    </row>
    <row r="34" customFormat="false" ht="15" hidden="false" customHeight="false" outlineLevel="0" collapsed="false">
      <c r="A34" s="9" t="s">
        <v>152</v>
      </c>
      <c r="B34" s="36" t="s">
        <v>55</v>
      </c>
      <c r="D34" s="38" t="n">
        <f aca="false">D32+D33</f>
        <v>181.5</v>
      </c>
      <c r="E34" s="38" t="n">
        <f aca="false">E32+E33</f>
        <v>223.08</v>
      </c>
      <c r="F34" s="38" t="n">
        <f aca="false">F32+F33</f>
        <v>267.696</v>
      </c>
      <c r="G34" s="38" t="n">
        <f aca="false">G32+G33</f>
        <v>296.964096</v>
      </c>
      <c r="H34" s="38" t="n">
        <f aca="false">H32+H33</f>
        <v>308.84265984</v>
      </c>
      <c r="I34" s="38" t="n">
        <f aca="false">I32+I33</f>
        <v>329.22627538944</v>
      </c>
      <c r="J34" s="38" t="n">
        <f aca="false">J32+J33</f>
        <v>342.395326405018</v>
      </c>
      <c r="K34" s="38" t="n">
        <f aca="false">K32+K33</f>
        <v>356.091139461218</v>
      </c>
      <c r="L34" s="38" t="n">
        <f aca="false">L32+L33</f>
        <v>370.334785039667</v>
      </c>
      <c r="M34" s="38" t="n">
        <f aca="false">M32+M33</f>
        <v>385.148176441254</v>
      </c>
    </row>
    <row r="36" customFormat="false" ht="15" hidden="false" customHeight="false" outlineLevel="0" collapsed="false">
      <c r="A36" s="24" t="s">
        <v>153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customFormat="false" ht="15" hidden="false" customHeight="false" outlineLevel="0" collapsed="false">
      <c r="A37" s="26" t="s">
        <v>154</v>
      </c>
      <c r="B37" s="36" t="s">
        <v>55</v>
      </c>
      <c r="D37" s="37" t="n">
        <f aca="false">D30*Inputs!$C$30*(1+Inputs!$C$31)^(Inputs!D$6-1)/Inputs!$C$48*(1+Inputs!$E$60)</f>
        <v>26.125</v>
      </c>
      <c r="E37" s="37" t="n">
        <f aca="false">E30*Inputs!$C$30*(1+Inputs!$C$31)^(Inputs!E$6-1)/Inputs!$C$48*(1+Inputs!$E$60)</f>
        <v>32.41875</v>
      </c>
      <c r="F37" s="37" t="n">
        <f aca="false">F30*Inputs!$C$30*(1+Inputs!$C$31)^(Inputs!F$6-1)/Inputs!$C$48*(1+Inputs!$E$60)</f>
        <v>39.2765625</v>
      </c>
      <c r="G37" s="37" t="n">
        <f aca="false">G30*Inputs!$C$30*(1+Inputs!$C$31)^(Inputs!G$6-1)/Inputs!$C$48*(1+Inputs!$E$60)</f>
        <v>43.98975</v>
      </c>
      <c r="H37" s="37" t="n">
        <f aca="false">H30*Inputs!$C$30*(1+Inputs!$C$31)^(Inputs!H$6-1)/Inputs!$C$48*(1+Inputs!$E$60)</f>
        <v>46.1892375</v>
      </c>
      <c r="I37" s="37" t="n">
        <f aca="false">I30*Inputs!$C$30*(1+Inputs!$C$31)^(Inputs!I$6-1)/Inputs!$C$48*(1+Inputs!$E$60)</f>
        <v>49.711166859375</v>
      </c>
      <c r="J37" s="37" t="n">
        <f aca="false">J30*Inputs!$C$30*(1+Inputs!$C$31)^(Inputs!J$6-1)/Inputs!$C$48*(1+Inputs!$E$60)</f>
        <v>52.1967252023438</v>
      </c>
      <c r="K37" s="37" t="n">
        <f aca="false">K30*Inputs!$C$30*(1+Inputs!$C$31)^(Inputs!K$6-1)/Inputs!$C$48*(1+Inputs!$E$60)</f>
        <v>54.806561462461</v>
      </c>
      <c r="L37" s="37" t="n">
        <f aca="false">L30*Inputs!$C$30*(1+Inputs!$C$31)^(Inputs!L$6-1)/Inputs!$C$48*(1+Inputs!$E$60)</f>
        <v>57.546889535584</v>
      </c>
      <c r="M37" s="37" t="n">
        <f aca="false">M30*Inputs!$C$30*(1+Inputs!$C$31)^(Inputs!M$6-1)/Inputs!$C$48*(1+Inputs!$E$60)</f>
        <v>60.4242340123632</v>
      </c>
    </row>
    <row r="38" customFormat="false" ht="15" hidden="false" customHeight="false" outlineLevel="0" collapsed="false">
      <c r="A38" s="26" t="s">
        <v>155</v>
      </c>
      <c r="B38" s="36" t="s">
        <v>55</v>
      </c>
      <c r="D38" s="37" t="n">
        <f aca="false">-D37*Inputs!$C$32</f>
        <v>-4.7025</v>
      </c>
      <c r="E38" s="37" t="n">
        <f aca="false">-E37*Inputs!$C$32</f>
        <v>-5.835375</v>
      </c>
      <c r="F38" s="37" t="n">
        <f aca="false">-F37*Inputs!$C$32</f>
        <v>-7.06978125</v>
      </c>
      <c r="G38" s="37" t="n">
        <f aca="false">-G37*Inputs!$C$32</f>
        <v>-7.918155</v>
      </c>
      <c r="H38" s="37" t="n">
        <f aca="false">-H37*Inputs!$C$32</f>
        <v>-8.31406275</v>
      </c>
      <c r="I38" s="37" t="n">
        <f aca="false">-I37*Inputs!$C$32</f>
        <v>-8.9480100346875</v>
      </c>
      <c r="J38" s="37" t="n">
        <f aca="false">-J37*Inputs!$C$32</f>
        <v>-9.39541053642188</v>
      </c>
      <c r="K38" s="37" t="n">
        <f aca="false">-K37*Inputs!$C$32</f>
        <v>-9.86518106324297</v>
      </c>
      <c r="L38" s="37" t="n">
        <f aca="false">-L37*Inputs!$C$32</f>
        <v>-10.3584401164051</v>
      </c>
      <c r="M38" s="37" t="n">
        <f aca="false">-M37*Inputs!$C$32</f>
        <v>-10.8763621222254</v>
      </c>
    </row>
    <row r="39" customFormat="false" ht="15" hidden="false" customHeight="false" outlineLevel="0" collapsed="false">
      <c r="A39" s="26" t="s">
        <v>156</v>
      </c>
      <c r="B39" s="36" t="s">
        <v>55</v>
      </c>
      <c r="D39" s="37" t="n">
        <f aca="false">D34*Inputs!$C$33*(1+Inputs!$E$60)</f>
        <v>5.445</v>
      </c>
      <c r="E39" s="37" t="n">
        <f aca="false">E34*Inputs!$C$33*(1+Inputs!$E$60)</f>
        <v>6.6924</v>
      </c>
      <c r="F39" s="37" t="n">
        <f aca="false">F34*Inputs!$C$33*(1+Inputs!$E$60)</f>
        <v>8.03088</v>
      </c>
      <c r="G39" s="37" t="n">
        <f aca="false">G34*Inputs!$C$33*(1+Inputs!$E$60)</f>
        <v>8.90892288</v>
      </c>
      <c r="H39" s="37" t="n">
        <f aca="false">H34*Inputs!$C$33*(1+Inputs!$E$60)</f>
        <v>9.2652797952</v>
      </c>
      <c r="I39" s="37" t="n">
        <f aca="false">I34*Inputs!$C$33*(1+Inputs!$E$60)</f>
        <v>9.8767882616832</v>
      </c>
      <c r="J39" s="37" t="n">
        <f aca="false">J34*Inputs!$C$33*(1+Inputs!$E$60)</f>
        <v>10.2718597921505</v>
      </c>
      <c r="K39" s="37" t="n">
        <f aca="false">K34*Inputs!$C$33*(1+Inputs!$E$60)</f>
        <v>10.6827341838366</v>
      </c>
      <c r="L39" s="37" t="n">
        <f aca="false">L34*Inputs!$C$33*(1+Inputs!$E$60)</f>
        <v>11.11004355119</v>
      </c>
      <c r="M39" s="37" t="n">
        <f aca="false">M34*Inputs!$C$33*(1+Inputs!$E$60)</f>
        <v>11.5544452932376</v>
      </c>
    </row>
    <row r="40" customFormat="false" ht="15" hidden="false" customHeight="false" outlineLevel="0" collapsed="false">
      <c r="A40" s="26" t="s">
        <v>157</v>
      </c>
      <c r="B40" s="36" t="s">
        <v>55</v>
      </c>
      <c r="D40" s="37" t="n">
        <f aca="false">Inputs!$C$34*(1+Inputs!$C$35)^(Inputs!D$6-1)*(1+Inputs!$E$60)</f>
        <v>32</v>
      </c>
      <c r="E40" s="37" t="n">
        <f aca="false">Inputs!$C$34*(1+Inputs!$C$35)^(Inputs!E$6-1)*(1+Inputs!$E$60)</f>
        <v>33.92</v>
      </c>
      <c r="F40" s="37" t="n">
        <f aca="false">Inputs!$C$34*(1+Inputs!$C$35)^(Inputs!F$6-1)*(1+Inputs!$E$60)</f>
        <v>35.9552</v>
      </c>
      <c r="G40" s="37" t="n">
        <f aca="false">Inputs!$C$34*(1+Inputs!$C$35)^(Inputs!G$6-1)*(1+Inputs!$E$60)</f>
        <v>38.112512</v>
      </c>
      <c r="H40" s="37" t="n">
        <f aca="false">Inputs!$C$34*(1+Inputs!$C$35)^(Inputs!H$6-1)*(1+Inputs!$E$60)</f>
        <v>40.39926272</v>
      </c>
      <c r="I40" s="37" t="n">
        <f aca="false">Inputs!$C$34*(1+Inputs!$C$35)^(Inputs!I$6-1)*(1+Inputs!$E$60)</f>
        <v>42.8232184832</v>
      </c>
      <c r="J40" s="37" t="n">
        <f aca="false">Inputs!$C$34*(1+Inputs!$C$35)^(Inputs!J$6-1)*(1+Inputs!$E$60)</f>
        <v>45.392611592192</v>
      </c>
      <c r="K40" s="37" t="n">
        <f aca="false">Inputs!$C$34*(1+Inputs!$C$35)^(Inputs!K$6-1)*(1+Inputs!$E$60)</f>
        <v>48.1161682877235</v>
      </c>
      <c r="L40" s="37" t="n">
        <f aca="false">Inputs!$C$34*(1+Inputs!$C$35)^(Inputs!L$6-1)*(1+Inputs!$E$60)</f>
        <v>51.003138384987</v>
      </c>
      <c r="M40" s="37" t="n">
        <f aca="false">Inputs!$C$34*(1+Inputs!$C$35)^(Inputs!M$6-1)*(1+Inputs!$E$60)</f>
        <v>54.0633266880862</v>
      </c>
    </row>
    <row r="41" customFormat="false" ht="15" hidden="false" customHeight="false" outlineLevel="0" collapsed="false">
      <c r="A41" s="26" t="s">
        <v>158</v>
      </c>
      <c r="B41" s="36" t="s">
        <v>55</v>
      </c>
      <c r="D41" s="37" t="n">
        <f aca="false">$C$26*Inputs!$C$36*(1+Inputs!$E$60)</f>
        <v>6.435</v>
      </c>
      <c r="E41" s="37" t="n">
        <f aca="false">$C$26*Inputs!$C$36*(1+Inputs!$E$60)</f>
        <v>6.435</v>
      </c>
      <c r="F41" s="37" t="n">
        <f aca="false">$C$26*Inputs!$C$36*(1+Inputs!$E$60)</f>
        <v>6.435</v>
      </c>
      <c r="G41" s="37" t="n">
        <f aca="false">$C$26*Inputs!$C$36*(1+Inputs!$E$60)</f>
        <v>6.435</v>
      </c>
      <c r="H41" s="37" t="n">
        <f aca="false">$C$26*Inputs!$C$36*(1+Inputs!$E$60)</f>
        <v>6.435</v>
      </c>
      <c r="I41" s="37" t="n">
        <f aca="false">$C$26*Inputs!$C$36*(1+Inputs!$E$60)</f>
        <v>6.435</v>
      </c>
      <c r="J41" s="37" t="n">
        <f aca="false">$C$26*Inputs!$C$36*(1+Inputs!$E$60)</f>
        <v>6.435</v>
      </c>
      <c r="K41" s="37" t="n">
        <f aca="false">$C$26*Inputs!$C$36*(1+Inputs!$E$60)</f>
        <v>6.435</v>
      </c>
      <c r="L41" s="37" t="n">
        <f aca="false">$C$26*Inputs!$C$36*(1+Inputs!$E$60)</f>
        <v>6.435</v>
      </c>
      <c r="M41" s="37" t="n">
        <f aca="false">$C$26*Inputs!$C$36*(1+Inputs!$E$60)</f>
        <v>6.435</v>
      </c>
    </row>
    <row r="42" customFormat="false" ht="15" hidden="false" customHeight="false" outlineLevel="0" collapsed="false">
      <c r="A42" s="26" t="s">
        <v>159</v>
      </c>
      <c r="B42" s="36" t="s">
        <v>55</v>
      </c>
      <c r="D42" s="37" t="n">
        <f aca="false">($C$25+$C$27)*Inputs!$C$37*(1+Inputs!$E$60)</f>
        <v>2.7678</v>
      </c>
      <c r="E42" s="37" t="n">
        <f aca="false">($C$25+$C$27)*Inputs!$C$37*(1+Inputs!$E$60)</f>
        <v>2.7678</v>
      </c>
      <c r="F42" s="37" t="n">
        <f aca="false">($C$25+$C$27)*Inputs!$C$37*(1+Inputs!$E$60)</f>
        <v>2.7678</v>
      </c>
      <c r="G42" s="37" t="n">
        <f aca="false">($C$25+$C$27)*Inputs!$C$37*(1+Inputs!$E$60)</f>
        <v>2.7678</v>
      </c>
      <c r="H42" s="37" t="n">
        <f aca="false">($C$25+$C$27)*Inputs!$C$37*(1+Inputs!$E$60)</f>
        <v>2.7678</v>
      </c>
      <c r="I42" s="37" t="n">
        <f aca="false">($C$25+$C$27)*Inputs!$C$37*(1+Inputs!$E$60)</f>
        <v>2.7678</v>
      </c>
      <c r="J42" s="37" t="n">
        <f aca="false">($C$25+$C$27)*Inputs!$C$37*(1+Inputs!$E$60)</f>
        <v>2.7678</v>
      </c>
      <c r="K42" s="37" t="n">
        <f aca="false">($C$25+$C$27)*Inputs!$C$37*(1+Inputs!$E$60)</f>
        <v>2.7678</v>
      </c>
      <c r="L42" s="37" t="n">
        <f aca="false">($C$25+$C$27)*Inputs!$C$37*(1+Inputs!$E$60)</f>
        <v>2.7678</v>
      </c>
      <c r="M42" s="37" t="n">
        <f aca="false">($C$25+$C$27)*Inputs!$C$37*(1+Inputs!$E$60)</f>
        <v>2.7678</v>
      </c>
    </row>
    <row r="43" customFormat="false" ht="15" hidden="false" customHeight="false" outlineLevel="0" collapsed="false">
      <c r="A43" s="26" t="s">
        <v>160</v>
      </c>
      <c r="B43" s="36" t="s">
        <v>55</v>
      </c>
      <c r="D43" s="37" t="n">
        <f aca="false">Inputs!$C$38*(1+Inputs!$C$39)^(Inputs!D$6-1)*(1+Inputs!$E$60)</f>
        <v>9</v>
      </c>
      <c r="E43" s="37" t="n">
        <f aca="false">Inputs!$C$38*(1+Inputs!$C$39)^(Inputs!E$6-1)*(1+Inputs!$E$60)</f>
        <v>9.45</v>
      </c>
      <c r="F43" s="37" t="n">
        <f aca="false">Inputs!$C$38*(1+Inputs!$C$39)^(Inputs!F$6-1)*(1+Inputs!$E$60)</f>
        <v>9.9225</v>
      </c>
      <c r="G43" s="37" t="n">
        <f aca="false">Inputs!$C$38*(1+Inputs!$C$39)^(Inputs!G$6-1)*(1+Inputs!$E$60)</f>
        <v>10.418625</v>
      </c>
      <c r="H43" s="37" t="n">
        <f aca="false">Inputs!$C$38*(1+Inputs!$C$39)^(Inputs!H$6-1)*(1+Inputs!$E$60)</f>
        <v>10.93955625</v>
      </c>
      <c r="I43" s="37" t="n">
        <f aca="false">Inputs!$C$38*(1+Inputs!$C$39)^(Inputs!I$6-1)*(1+Inputs!$E$60)</f>
        <v>11.4865340625</v>
      </c>
      <c r="J43" s="37" t="n">
        <f aca="false">Inputs!$C$38*(1+Inputs!$C$39)^(Inputs!J$6-1)*(1+Inputs!$E$60)</f>
        <v>12.060860765625</v>
      </c>
      <c r="K43" s="37" t="n">
        <f aca="false">Inputs!$C$38*(1+Inputs!$C$39)^(Inputs!K$6-1)*(1+Inputs!$E$60)</f>
        <v>12.6639038039063</v>
      </c>
      <c r="L43" s="37" t="n">
        <f aca="false">Inputs!$C$38*(1+Inputs!$C$39)^(Inputs!L$6-1)*(1+Inputs!$E$60)</f>
        <v>13.2970989941016</v>
      </c>
      <c r="M43" s="37" t="n">
        <f aca="false">Inputs!$C$38*(1+Inputs!$C$39)^(Inputs!M$6-1)*(1+Inputs!$E$60)</f>
        <v>13.9619539438066</v>
      </c>
    </row>
    <row r="44" customFormat="false" ht="15" hidden="false" customHeight="false" outlineLevel="0" collapsed="false">
      <c r="A44" s="9" t="s">
        <v>161</v>
      </c>
      <c r="B44" s="36" t="s">
        <v>55</v>
      </c>
      <c r="D44" s="38" t="n">
        <f aca="false">SUM(D37:D43)</f>
        <v>77.0703</v>
      </c>
      <c r="E44" s="38" t="n">
        <f aca="false">SUM(E37:E43)</f>
        <v>85.848575</v>
      </c>
      <c r="F44" s="38" t="n">
        <f aca="false">SUM(F37:F43)</f>
        <v>95.31816125</v>
      </c>
      <c r="G44" s="38" t="n">
        <f aca="false">SUM(G37:G43)</f>
        <v>102.71445488</v>
      </c>
      <c r="H44" s="38" t="n">
        <f aca="false">SUM(H37:H43)</f>
        <v>107.6820735152</v>
      </c>
      <c r="I44" s="38" t="n">
        <f aca="false">SUM(I37:I43)</f>
        <v>114.152497632071</v>
      </c>
      <c r="J44" s="38" t="n">
        <f aca="false">SUM(J37:J43)</f>
        <v>119.729446815889</v>
      </c>
      <c r="K44" s="38" t="n">
        <f aca="false">SUM(K37:K43)</f>
        <v>125.606986674684</v>
      </c>
      <c r="L44" s="38" t="n">
        <f aca="false">SUM(L37:L43)</f>
        <v>131.801530349457</v>
      </c>
      <c r="M44" s="38" t="n">
        <f aca="false">SUM(M37:M43)</f>
        <v>138.330397815268</v>
      </c>
    </row>
    <row r="45" customFormat="false" ht="15" hidden="false" customHeight="false" outlineLevel="0" collapsed="false">
      <c r="A45" s="26" t="s">
        <v>162</v>
      </c>
      <c r="B45" s="36" t="s">
        <v>55</v>
      </c>
      <c r="D45" s="37" t="n">
        <f aca="false">D37+D38+D39</f>
        <v>26.8675</v>
      </c>
      <c r="E45" s="37" t="n">
        <f aca="false">E37+E38+E39</f>
        <v>33.275775</v>
      </c>
      <c r="F45" s="37" t="n">
        <f aca="false">F37+F38+F39</f>
        <v>40.23766125</v>
      </c>
      <c r="G45" s="37" t="n">
        <f aca="false">G37+G38+G39</f>
        <v>44.98051788</v>
      </c>
      <c r="H45" s="37" t="n">
        <f aca="false">H37+H38+H39</f>
        <v>47.1404545452</v>
      </c>
      <c r="I45" s="37" t="n">
        <f aca="false">I37+I38+I39</f>
        <v>50.6399450863707</v>
      </c>
      <c r="J45" s="37" t="n">
        <f aca="false">J37+J38+J39</f>
        <v>53.0731744580724</v>
      </c>
      <c r="K45" s="37" t="n">
        <f aca="false">K37+K38+K39</f>
        <v>55.6241145830545</v>
      </c>
      <c r="L45" s="37" t="n">
        <f aca="false">L37+L38+L39</f>
        <v>58.2984929703689</v>
      </c>
      <c r="M45" s="37" t="n">
        <f aca="false">M37+M38+M39</f>
        <v>61.1023171833754</v>
      </c>
    </row>
    <row r="46" customFormat="false" ht="15" hidden="false" customHeight="false" outlineLevel="0" collapsed="false">
      <c r="A46" s="26" t="s">
        <v>163</v>
      </c>
      <c r="B46" s="36" t="s">
        <v>55</v>
      </c>
      <c r="D46" s="37" t="n">
        <f aca="false">D40+D41+D42+D43</f>
        <v>50.2028</v>
      </c>
      <c r="E46" s="37" t="n">
        <f aca="false">E40+E41+E42+E43</f>
        <v>52.5728</v>
      </c>
      <c r="F46" s="37" t="n">
        <f aca="false">F40+F41+F42+F43</f>
        <v>55.0805</v>
      </c>
      <c r="G46" s="37" t="n">
        <f aca="false">G40+G41+G42+G43</f>
        <v>57.733937</v>
      </c>
      <c r="H46" s="37" t="n">
        <f aca="false">H40+H41+H42+H43</f>
        <v>60.54161897</v>
      </c>
      <c r="I46" s="37" t="n">
        <f aca="false">I40+I41+I42+I43</f>
        <v>63.5125525457</v>
      </c>
      <c r="J46" s="37" t="n">
        <f aca="false">J40+J41+J42+J43</f>
        <v>66.656272357817</v>
      </c>
      <c r="K46" s="37" t="n">
        <f aca="false">K40+K41+K42+K43</f>
        <v>69.9828720916298</v>
      </c>
      <c r="L46" s="37" t="n">
        <f aca="false">L40+L41+L42+L43</f>
        <v>73.5030373790885</v>
      </c>
      <c r="M46" s="37" t="n">
        <f aca="false">M40+M41+M42+M43</f>
        <v>77.2280806318928</v>
      </c>
    </row>
    <row r="47" customFormat="false" ht="15" hidden="false" customHeight="false" outlineLevel="0" collapsed="false">
      <c r="A47" s="9" t="s">
        <v>20</v>
      </c>
      <c r="B47" s="36" t="s">
        <v>55</v>
      </c>
      <c r="D47" s="38" t="n">
        <f aca="false">D34-D44</f>
        <v>104.4297</v>
      </c>
      <c r="E47" s="38" t="n">
        <f aca="false">E34-E44</f>
        <v>137.231425</v>
      </c>
      <c r="F47" s="38" t="n">
        <f aca="false">F34-F44</f>
        <v>172.37783875</v>
      </c>
      <c r="G47" s="38" t="n">
        <f aca="false">G34-G44</f>
        <v>194.24964112</v>
      </c>
      <c r="H47" s="38" t="n">
        <f aca="false">H34-H44</f>
        <v>201.1605863248</v>
      </c>
      <c r="I47" s="38" t="n">
        <f aca="false">I34-I44</f>
        <v>215.073777757369</v>
      </c>
      <c r="J47" s="38" t="n">
        <f aca="false">J34-J44</f>
        <v>222.665879589128</v>
      </c>
      <c r="K47" s="38" t="n">
        <f aca="false">K34-K44</f>
        <v>230.484152786534</v>
      </c>
      <c r="L47" s="38" t="n">
        <f aca="false">L34-L44</f>
        <v>238.53325469021</v>
      </c>
      <c r="M47" s="38" t="n">
        <f aca="false">M34-M44</f>
        <v>246.817778625986</v>
      </c>
    </row>
    <row r="49" customFormat="false" ht="15" hidden="false" customHeight="false" outlineLevel="0" collapsed="false">
      <c r="A49" s="24" t="s">
        <v>164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</row>
    <row r="50" customFormat="false" ht="15" hidden="false" customHeight="false" outlineLevel="0" collapsed="false">
      <c r="A50" s="26" t="s">
        <v>165</v>
      </c>
      <c r="B50" s="36" t="s">
        <v>55</v>
      </c>
      <c r="D50" s="37" t="n">
        <f aca="false">IF(Inputs!D$6&lt;=Inputs!$C$41,$C$25/Inputs!$C$41,0)</f>
        <v>8.05</v>
      </c>
      <c r="E50" s="37" t="n">
        <f aca="false">IF(Inputs!E$6&lt;=Inputs!$C$41,$C$25/Inputs!$C$41,0)</f>
        <v>8.05</v>
      </c>
      <c r="F50" s="37" t="n">
        <f aca="false">IF(Inputs!F$6&lt;=Inputs!$C$41,$C$25/Inputs!$C$41,0)</f>
        <v>8.05</v>
      </c>
      <c r="G50" s="37" t="n">
        <f aca="false">IF(Inputs!G$6&lt;=Inputs!$C$41,$C$25/Inputs!$C$41,0)</f>
        <v>8.05</v>
      </c>
      <c r="H50" s="37" t="n">
        <f aca="false">IF(Inputs!H$6&lt;=Inputs!$C$41,$C$25/Inputs!$C$41,0)</f>
        <v>8.05</v>
      </c>
      <c r="I50" s="37" t="n">
        <f aca="false">IF(Inputs!I$6&lt;=Inputs!$C$41,$C$25/Inputs!$C$41,0)</f>
        <v>8.05</v>
      </c>
      <c r="J50" s="37" t="n">
        <f aca="false">IF(Inputs!J$6&lt;=Inputs!$C$41,$C$25/Inputs!$C$41,0)</f>
        <v>8.05</v>
      </c>
      <c r="K50" s="37" t="n">
        <f aca="false">IF(Inputs!K$6&lt;=Inputs!$C$41,$C$25/Inputs!$C$41,0)</f>
        <v>8.05</v>
      </c>
      <c r="L50" s="37" t="n">
        <f aca="false">IF(Inputs!L$6&lt;=Inputs!$C$41,$C$25/Inputs!$C$41,0)</f>
        <v>8.05</v>
      </c>
      <c r="M50" s="37" t="n">
        <f aca="false">IF(Inputs!M$6&lt;=Inputs!$C$41,$C$25/Inputs!$C$41,0)</f>
        <v>8.05</v>
      </c>
    </row>
    <row r="51" customFormat="false" ht="15" hidden="false" customHeight="false" outlineLevel="0" collapsed="false">
      <c r="A51" s="26" t="s">
        <v>166</v>
      </c>
      <c r="B51" s="36" t="s">
        <v>55</v>
      </c>
      <c r="D51" s="37" t="n">
        <f aca="false">IF(Inputs!D$6&lt;=Inputs!$C$42,$C$27/Inputs!$C$42,0)</f>
        <v>30.03</v>
      </c>
      <c r="E51" s="37" t="n">
        <f aca="false">IF(Inputs!E$6&lt;=Inputs!$C$42,$C$27/Inputs!$C$42,0)</f>
        <v>30.03</v>
      </c>
      <c r="F51" s="37" t="n">
        <f aca="false">IF(Inputs!F$6&lt;=Inputs!$C$42,$C$27/Inputs!$C$42,0)</f>
        <v>30.03</v>
      </c>
      <c r="G51" s="37" t="n">
        <f aca="false">IF(Inputs!G$6&lt;=Inputs!$C$42,$C$27/Inputs!$C$42,0)</f>
        <v>30.03</v>
      </c>
      <c r="H51" s="37" t="n">
        <f aca="false">IF(Inputs!H$6&lt;=Inputs!$C$42,$C$27/Inputs!$C$42,0)</f>
        <v>30.03</v>
      </c>
      <c r="I51" s="37" t="n">
        <f aca="false">IF(Inputs!I$6&lt;=Inputs!$C$42,$C$27/Inputs!$C$42,0)</f>
        <v>30.03</v>
      </c>
      <c r="J51" s="37" t="n">
        <f aca="false">IF(Inputs!J$6&lt;=Inputs!$C$42,$C$27/Inputs!$C$42,0)</f>
        <v>30.03</v>
      </c>
      <c r="K51" s="37" t="n">
        <f aca="false">IF(Inputs!K$6&lt;=Inputs!$C$42,$C$27/Inputs!$C$42,0)</f>
        <v>30.03</v>
      </c>
      <c r="L51" s="37" t="n">
        <f aca="false">IF(Inputs!L$6&lt;=Inputs!$C$42,$C$27/Inputs!$C$42,0)</f>
        <v>30.03</v>
      </c>
      <c r="M51" s="37" t="n">
        <f aca="false">IF(Inputs!M$6&lt;=Inputs!$C$42,$C$27/Inputs!$C$42,0)</f>
        <v>30.03</v>
      </c>
    </row>
    <row r="52" customFormat="false" ht="15" hidden="false" customHeight="false" outlineLevel="0" collapsed="false">
      <c r="A52" s="26" t="s">
        <v>167</v>
      </c>
      <c r="B52" s="36" t="s">
        <v>55</v>
      </c>
      <c r="D52" s="37" t="n">
        <f aca="false">IF(Inputs!D$6&lt;=Inputs!$C$43,$C$13/Inputs!$C$43,0)</f>
        <v>4.4</v>
      </c>
      <c r="E52" s="37" t="n">
        <f aca="false">IF(Inputs!E$6&lt;=Inputs!$C$43,$C$13/Inputs!$C$43,0)</f>
        <v>4.4</v>
      </c>
      <c r="F52" s="37" t="n">
        <f aca="false">IF(Inputs!F$6&lt;=Inputs!$C$43,$C$13/Inputs!$C$43,0)</f>
        <v>4.4</v>
      </c>
      <c r="G52" s="37" t="n">
        <f aca="false">IF(Inputs!G$6&lt;=Inputs!$C$43,$C$13/Inputs!$C$43,0)</f>
        <v>4.4</v>
      </c>
      <c r="H52" s="37" t="n">
        <f aca="false">IF(Inputs!H$6&lt;=Inputs!$C$43,$C$13/Inputs!$C$43,0)</f>
        <v>4.4</v>
      </c>
      <c r="I52" s="37" t="n">
        <f aca="false">IF(Inputs!I$6&lt;=Inputs!$C$43,$C$13/Inputs!$C$43,0)</f>
        <v>0</v>
      </c>
      <c r="J52" s="37" t="n">
        <f aca="false">IF(Inputs!J$6&lt;=Inputs!$C$43,$C$13/Inputs!$C$43,0)</f>
        <v>0</v>
      </c>
      <c r="K52" s="37" t="n">
        <f aca="false">IF(Inputs!K$6&lt;=Inputs!$C$43,$C$13/Inputs!$C$43,0)</f>
        <v>0</v>
      </c>
      <c r="L52" s="37" t="n">
        <f aca="false">IF(Inputs!L$6&lt;=Inputs!$C$43,$C$13/Inputs!$C$43,0)</f>
        <v>0</v>
      </c>
      <c r="M52" s="37" t="n">
        <f aca="false">IF(Inputs!M$6&lt;=Inputs!$C$43,$C$13/Inputs!$C$43,0)</f>
        <v>0</v>
      </c>
    </row>
    <row r="53" customFormat="false" ht="15" hidden="false" customHeight="false" outlineLevel="0" collapsed="false">
      <c r="A53" s="9" t="s">
        <v>168</v>
      </c>
      <c r="B53" s="36" t="s">
        <v>55</v>
      </c>
      <c r="D53" s="38" t="n">
        <f aca="false">SUM(D50:D52)</f>
        <v>42.48</v>
      </c>
      <c r="E53" s="38" t="n">
        <f aca="false">SUM(E50:E52)</f>
        <v>42.48</v>
      </c>
      <c r="F53" s="38" t="n">
        <f aca="false">SUM(F50:F52)</f>
        <v>42.48</v>
      </c>
      <c r="G53" s="38" t="n">
        <f aca="false">SUM(G50:G52)</f>
        <v>42.48</v>
      </c>
      <c r="H53" s="38" t="n">
        <f aca="false">SUM(H50:H52)</f>
        <v>42.48</v>
      </c>
      <c r="I53" s="38" t="n">
        <f aca="false">SUM(I50:I52)</f>
        <v>38.08</v>
      </c>
      <c r="J53" s="38" t="n">
        <f aca="false">SUM(J50:J52)</f>
        <v>38.08</v>
      </c>
      <c r="K53" s="38" t="n">
        <f aca="false">SUM(K50:K52)</f>
        <v>38.08</v>
      </c>
      <c r="L53" s="38" t="n">
        <f aca="false">SUM(L50:L52)</f>
        <v>38.08</v>
      </c>
      <c r="M53" s="38" t="n">
        <f aca="false">SUM(M50:M52)</f>
        <v>38.08</v>
      </c>
    </row>
    <row r="54" customFormat="false" ht="15" hidden="false" customHeight="false" outlineLevel="0" collapsed="false">
      <c r="A54" s="26" t="s">
        <v>169</v>
      </c>
      <c r="B54" s="36" t="s">
        <v>55</v>
      </c>
      <c r="C54" s="37" t="n">
        <f aca="false">C14</f>
        <v>753.95</v>
      </c>
      <c r="D54" s="37" t="n">
        <f aca="false">C54-D53</f>
        <v>711.47</v>
      </c>
      <c r="E54" s="37" t="n">
        <f aca="false">D54-E53</f>
        <v>668.99</v>
      </c>
      <c r="F54" s="37" t="n">
        <f aca="false">E54-F53</f>
        <v>626.51</v>
      </c>
      <c r="G54" s="37" t="n">
        <f aca="false">F54-G53</f>
        <v>584.03</v>
      </c>
      <c r="H54" s="37" t="n">
        <f aca="false">G54-H53</f>
        <v>541.55</v>
      </c>
      <c r="I54" s="37" t="n">
        <f aca="false">H54-I53</f>
        <v>503.47</v>
      </c>
      <c r="J54" s="37" t="n">
        <f aca="false">I54-J53</f>
        <v>465.39</v>
      </c>
      <c r="K54" s="37" t="n">
        <f aca="false">J54-K53</f>
        <v>427.31</v>
      </c>
      <c r="L54" s="37" t="n">
        <f aca="false">K54-L53</f>
        <v>389.23</v>
      </c>
      <c r="M54" s="37" t="n">
        <f aca="false">L54-M53</f>
        <v>351.15</v>
      </c>
    </row>
    <row r="56" customFormat="false" ht="15" hidden="false" customHeight="false" outlineLevel="0" collapsed="false">
      <c r="A56" s="24" t="s">
        <v>170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</row>
    <row r="57" customFormat="false" ht="15" hidden="false" customHeight="false" outlineLevel="0" collapsed="false">
      <c r="A57" s="26" t="s">
        <v>171</v>
      </c>
      <c r="B57" s="36" t="s">
        <v>55</v>
      </c>
      <c r="C57" s="37" t="n">
        <f aca="false">0</f>
        <v>0</v>
      </c>
      <c r="D57" s="37" t="n">
        <f aca="false">D34*Inputs!$C$45/Inputs!$C$47</f>
        <v>22.3767123287671</v>
      </c>
      <c r="E57" s="37" t="n">
        <f aca="false">E34*Inputs!$C$45/Inputs!$C$47</f>
        <v>27.5030136986301</v>
      </c>
      <c r="F57" s="37" t="n">
        <f aca="false">F34*Inputs!$C$45/Inputs!$C$47</f>
        <v>33.0036164383562</v>
      </c>
      <c r="G57" s="37" t="n">
        <f aca="false">G34*Inputs!$C$45/Inputs!$C$47</f>
        <v>36.6120118356164</v>
      </c>
      <c r="H57" s="37" t="n">
        <f aca="false">H34*Inputs!$C$45/Inputs!$C$47</f>
        <v>38.0764923090411</v>
      </c>
      <c r="I57" s="37" t="n">
        <f aca="false">I34*Inputs!$C$45/Inputs!$C$47</f>
        <v>40.5895408014378</v>
      </c>
      <c r="J57" s="37" t="n">
        <f aca="false">J34*Inputs!$C$45/Inputs!$C$47</f>
        <v>42.2131224334953</v>
      </c>
      <c r="K57" s="37" t="n">
        <f aca="false">K34*Inputs!$C$45/Inputs!$C$47</f>
        <v>43.9016473308352</v>
      </c>
      <c r="L57" s="37" t="n">
        <f aca="false">L34*Inputs!$C$45/Inputs!$C$47</f>
        <v>45.6577132240686</v>
      </c>
      <c r="M57" s="37" t="n">
        <f aca="false">M34*Inputs!$C$45/Inputs!$C$47</f>
        <v>47.4840217530313</v>
      </c>
    </row>
    <row r="58" customFormat="false" ht="15" hidden="false" customHeight="false" outlineLevel="0" collapsed="false">
      <c r="A58" s="26" t="s">
        <v>172</v>
      </c>
      <c r="B58" s="36" t="s">
        <v>55</v>
      </c>
      <c r="C58" s="37" t="n">
        <f aca="false">0</f>
        <v>0</v>
      </c>
      <c r="D58" s="37" t="n">
        <f aca="false">D44*Inputs!$C$46/Inputs!$C$47</f>
        <v>6.33454520547945</v>
      </c>
      <c r="E58" s="37" t="n">
        <f aca="false">E44*Inputs!$C$46/Inputs!$C$47</f>
        <v>7.05604726027397</v>
      </c>
      <c r="F58" s="37" t="n">
        <f aca="false">F44*Inputs!$C$46/Inputs!$C$47</f>
        <v>7.83436941780822</v>
      </c>
      <c r="G58" s="37" t="n">
        <f aca="false">G44*Inputs!$C$46/Inputs!$C$47</f>
        <v>8.44228396273973</v>
      </c>
      <c r="H58" s="37" t="n">
        <f aca="false">H44*Inputs!$C$46/Inputs!$C$47</f>
        <v>8.85058138481096</v>
      </c>
      <c r="I58" s="37" t="n">
        <f aca="false">I44*Inputs!$C$46/Inputs!$C$47</f>
        <v>9.38239706564965</v>
      </c>
      <c r="J58" s="37" t="n">
        <f aca="false">J44*Inputs!$C$46/Inputs!$C$47</f>
        <v>9.84077645062105</v>
      </c>
      <c r="K58" s="37" t="n">
        <f aca="false">K44*Inputs!$C$46/Inputs!$C$47</f>
        <v>10.3238619184672</v>
      </c>
      <c r="L58" s="37" t="n">
        <f aca="false">L44*Inputs!$C$46/Inputs!$C$47</f>
        <v>10.833002494476</v>
      </c>
      <c r="M58" s="37" t="n">
        <f aca="false">M44*Inputs!$C$46/Inputs!$C$47</f>
        <v>11.3696217382412</v>
      </c>
    </row>
    <row r="59" customFormat="false" ht="15" hidden="false" customHeight="false" outlineLevel="0" collapsed="false">
      <c r="A59" s="9" t="s">
        <v>173</v>
      </c>
      <c r="B59" s="36" t="s">
        <v>55</v>
      </c>
      <c r="C59" s="43" t="n">
        <f aca="false">C57-C58</f>
        <v>0</v>
      </c>
      <c r="D59" s="43" t="n">
        <f aca="false">D57-D58</f>
        <v>16.0421671232877</v>
      </c>
      <c r="E59" s="43" t="n">
        <f aca="false">E57-E58</f>
        <v>20.4469664383562</v>
      </c>
      <c r="F59" s="43" t="n">
        <f aca="false">F57-F58</f>
        <v>25.169247020548</v>
      </c>
      <c r="G59" s="43" t="n">
        <f aca="false">G57-G58</f>
        <v>28.1697278728767</v>
      </c>
      <c r="H59" s="43" t="n">
        <f aca="false">H57-H58</f>
        <v>29.2259109242301</v>
      </c>
      <c r="I59" s="43" t="n">
        <f aca="false">I57-I58</f>
        <v>31.2071437357882</v>
      </c>
      <c r="J59" s="43" t="n">
        <f aca="false">J57-J58</f>
        <v>32.3723459828743</v>
      </c>
      <c r="K59" s="43" t="n">
        <f aca="false">K57-K58</f>
        <v>33.5777854123679</v>
      </c>
      <c r="L59" s="43" t="n">
        <f aca="false">L57-L58</f>
        <v>34.8247107295926</v>
      </c>
      <c r="M59" s="43" t="n">
        <f aca="false">M57-M58</f>
        <v>36.1144000147901</v>
      </c>
    </row>
    <row r="60" customFormat="false" ht="15" hidden="false" customHeight="false" outlineLevel="0" collapsed="false">
      <c r="A60" s="24" t="s">
        <v>267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</row>
    <row r="61" customFormat="false" ht="15" hidden="false" customHeight="false" outlineLevel="0" collapsed="false">
      <c r="A61" s="26" t="s">
        <v>176</v>
      </c>
      <c r="B61" s="36" t="s">
        <v>55</v>
      </c>
      <c r="C61" s="37" t="n">
        <f aca="false">0</f>
        <v>0</v>
      </c>
      <c r="D61" s="37" t="n">
        <f aca="false">C66</f>
        <v>463.17</v>
      </c>
      <c r="E61" s="37" t="n">
        <f aca="false">D66</f>
        <v>463.17</v>
      </c>
      <c r="F61" s="37" t="n">
        <f aca="false">E66</f>
        <v>463.17</v>
      </c>
      <c r="G61" s="37" t="n">
        <f aca="false">F66</f>
        <v>397.002857142857</v>
      </c>
      <c r="H61" s="37" t="n">
        <f aca="false">G66</f>
        <v>330.835714285714</v>
      </c>
      <c r="I61" s="37" t="n">
        <f aca="false">H66</f>
        <v>264.668571428571</v>
      </c>
      <c r="J61" s="37" t="n">
        <f aca="false">I66</f>
        <v>198.501428571429</v>
      </c>
      <c r="K61" s="37" t="n">
        <f aca="false">J66</f>
        <v>132.334285714286</v>
      </c>
      <c r="L61" s="37" t="n">
        <f aca="false">K66</f>
        <v>66.1671428571429</v>
      </c>
      <c r="M61" s="37" t="n">
        <f aca="false">L66</f>
        <v>0</v>
      </c>
    </row>
    <row r="62" customFormat="false" ht="15" hidden="false" customHeight="false" outlineLevel="0" collapsed="false">
      <c r="A62" s="26" t="s">
        <v>177</v>
      </c>
      <c r="B62" s="36" t="s">
        <v>55</v>
      </c>
      <c r="C62" s="37" t="n">
        <f aca="false">C19</f>
        <v>463.17</v>
      </c>
      <c r="D62" s="37" t="n">
        <f aca="false">0</f>
        <v>0</v>
      </c>
      <c r="E62" s="37" t="n">
        <f aca="false">0</f>
        <v>0</v>
      </c>
      <c r="F62" s="37" t="n">
        <f aca="false">0</f>
        <v>0</v>
      </c>
      <c r="G62" s="37" t="n">
        <f aca="false">0</f>
        <v>0</v>
      </c>
      <c r="H62" s="37" t="n">
        <f aca="false">0</f>
        <v>0</v>
      </c>
      <c r="I62" s="37" t="n">
        <f aca="false">0</f>
        <v>0</v>
      </c>
      <c r="J62" s="37" t="n">
        <f aca="false">0</f>
        <v>0</v>
      </c>
      <c r="K62" s="37" t="n">
        <f aca="false">0</f>
        <v>0</v>
      </c>
      <c r="L62" s="37" t="n">
        <f aca="false">0</f>
        <v>0</v>
      </c>
      <c r="M62" s="37" t="n">
        <f aca="false">0</f>
        <v>0</v>
      </c>
    </row>
    <row r="63" customFormat="false" ht="15" hidden="false" customHeight="false" outlineLevel="0" collapsed="false">
      <c r="A63" s="26" t="s">
        <v>178</v>
      </c>
      <c r="B63" s="36" t="s">
        <v>62</v>
      </c>
      <c r="C63" s="40" t="n">
        <f aca="false">Inputs!$C$21+Inputs!$G$60</f>
        <v>0.105</v>
      </c>
      <c r="D63" s="40" t="n">
        <f aca="false">Inputs!$C$21+Inputs!$G$60</f>
        <v>0.105</v>
      </c>
      <c r="E63" s="40" t="n">
        <f aca="false">Inputs!$C$21+Inputs!$G$60</f>
        <v>0.105</v>
      </c>
      <c r="F63" s="40" t="n">
        <f aca="false">Inputs!$C$21+Inputs!$G$60</f>
        <v>0.105</v>
      </c>
      <c r="G63" s="40" t="n">
        <f aca="false">Inputs!$C$21+Inputs!$G$60</f>
        <v>0.105</v>
      </c>
      <c r="H63" s="40" t="n">
        <f aca="false">Inputs!$C$21+Inputs!$G$60</f>
        <v>0.105</v>
      </c>
      <c r="I63" s="40" t="n">
        <f aca="false">Inputs!$C$21+Inputs!$G$60</f>
        <v>0.105</v>
      </c>
      <c r="J63" s="40" t="n">
        <f aca="false">Inputs!$C$21+Inputs!$G$60</f>
        <v>0.105</v>
      </c>
      <c r="K63" s="40" t="n">
        <f aca="false">Inputs!$C$21+Inputs!$G$60</f>
        <v>0.105</v>
      </c>
      <c r="L63" s="40" t="n">
        <f aca="false">Inputs!$C$21+Inputs!$G$60</f>
        <v>0.105</v>
      </c>
      <c r="M63" s="40" t="n">
        <f aca="false">Inputs!$C$21+Inputs!$G$60</f>
        <v>0.105</v>
      </c>
    </row>
    <row r="64" customFormat="false" ht="15" hidden="false" customHeight="false" outlineLevel="0" collapsed="false">
      <c r="A64" s="26" t="s">
        <v>179</v>
      </c>
      <c r="B64" s="36" t="s">
        <v>55</v>
      </c>
      <c r="C64" s="37" t="n">
        <f aca="false">0</f>
        <v>0</v>
      </c>
      <c r="D64" s="37" t="n">
        <f aca="false">D61*D63</f>
        <v>48.63285</v>
      </c>
      <c r="E64" s="37" t="n">
        <f aca="false">E61*E63</f>
        <v>48.63285</v>
      </c>
      <c r="F64" s="37" t="n">
        <f aca="false">F61*F63</f>
        <v>48.63285</v>
      </c>
      <c r="G64" s="37" t="n">
        <f aca="false">G61*G63</f>
        <v>41.6853</v>
      </c>
      <c r="H64" s="37" t="n">
        <f aca="false">H61*H63</f>
        <v>34.73775</v>
      </c>
      <c r="I64" s="37" t="n">
        <f aca="false">I61*I63</f>
        <v>27.7902</v>
      </c>
      <c r="J64" s="37" t="n">
        <f aca="false">J61*J63</f>
        <v>20.84265</v>
      </c>
      <c r="K64" s="37" t="n">
        <f aca="false">K61*K63</f>
        <v>13.8951</v>
      </c>
      <c r="L64" s="37" t="n">
        <f aca="false">L61*L63</f>
        <v>6.94755</v>
      </c>
      <c r="M64" s="37" t="n">
        <f aca="false">M61*M63</f>
        <v>0</v>
      </c>
    </row>
    <row r="65" customFormat="false" ht="15" hidden="false" customHeight="false" outlineLevel="0" collapsed="false">
      <c r="A65" s="26" t="s">
        <v>180</v>
      </c>
      <c r="B65" s="36" t="s">
        <v>55</v>
      </c>
      <c r="C65" s="37" t="n">
        <f aca="false">0</f>
        <v>0</v>
      </c>
      <c r="D65" s="37" t="n">
        <f aca="false">IF(AND(Inputs!D$6&gt;Inputs!$C$22,Inputs!D$6&lt;=Inputs!$C$22+Inputs!$C$23),MIN(D61,$C$19/Inputs!$C$23),0)</f>
        <v>0</v>
      </c>
      <c r="E65" s="37" t="n">
        <f aca="false">IF(AND(Inputs!E$6&gt;Inputs!$C$22,Inputs!E$6&lt;=Inputs!$C$22+Inputs!$C$23),MIN(E61,$C$19/Inputs!$C$23),0)</f>
        <v>0</v>
      </c>
      <c r="F65" s="37" t="n">
        <f aca="false">IF(AND(Inputs!F$6&gt;Inputs!$C$22,Inputs!F$6&lt;=Inputs!$C$22+Inputs!$C$23),MIN(F61,$C$19/Inputs!$C$23),0)</f>
        <v>66.1671428571429</v>
      </c>
      <c r="G65" s="37" t="n">
        <f aca="false">IF(AND(Inputs!G$6&gt;Inputs!$C$22,Inputs!G$6&lt;=Inputs!$C$22+Inputs!$C$23),MIN(G61,$C$19/Inputs!$C$23),0)</f>
        <v>66.1671428571429</v>
      </c>
      <c r="H65" s="37" t="n">
        <f aca="false">IF(AND(Inputs!H$6&gt;Inputs!$C$22,Inputs!H$6&lt;=Inputs!$C$22+Inputs!$C$23),MIN(H61,$C$19/Inputs!$C$23),0)</f>
        <v>66.1671428571429</v>
      </c>
      <c r="I65" s="37" t="n">
        <f aca="false">IF(AND(Inputs!I$6&gt;Inputs!$C$22,Inputs!I$6&lt;=Inputs!$C$22+Inputs!$C$23),MIN(I61,$C$19/Inputs!$C$23),0)</f>
        <v>66.1671428571429</v>
      </c>
      <c r="J65" s="37" t="n">
        <f aca="false">IF(AND(Inputs!J$6&gt;Inputs!$C$22,Inputs!J$6&lt;=Inputs!$C$22+Inputs!$C$23),MIN(J61,$C$19/Inputs!$C$23),0)</f>
        <v>66.1671428571429</v>
      </c>
      <c r="K65" s="37" t="n">
        <f aca="false">IF(AND(Inputs!K$6&gt;Inputs!$C$22,Inputs!K$6&lt;=Inputs!$C$22+Inputs!$C$23),MIN(K61,$C$19/Inputs!$C$23),0)</f>
        <v>66.1671428571429</v>
      </c>
      <c r="L65" s="37" t="n">
        <f aca="false">IF(AND(Inputs!L$6&gt;Inputs!$C$22,Inputs!L$6&lt;=Inputs!$C$22+Inputs!$C$23),MIN(L61,$C$19/Inputs!$C$23),0)</f>
        <v>66.1671428571429</v>
      </c>
      <c r="M65" s="37" t="n">
        <f aca="false">IF(AND(Inputs!M$6&gt;Inputs!$C$22,Inputs!M$6&lt;=Inputs!$C$22+Inputs!$C$23),MIN(M61,$C$19/Inputs!$C$23),0)</f>
        <v>0</v>
      </c>
    </row>
    <row r="66" customFormat="false" ht="15" hidden="false" customHeight="false" outlineLevel="0" collapsed="false">
      <c r="A66" s="9" t="s">
        <v>181</v>
      </c>
      <c r="B66" s="36" t="s">
        <v>55</v>
      </c>
      <c r="C66" s="38" t="n">
        <f aca="false">C61+C62-C65</f>
        <v>463.17</v>
      </c>
      <c r="D66" s="38" t="n">
        <f aca="false">D61+D62-D65</f>
        <v>463.17</v>
      </c>
      <c r="E66" s="38" t="n">
        <f aca="false">E61+E62-E65</f>
        <v>463.17</v>
      </c>
      <c r="F66" s="38" t="n">
        <f aca="false">F61+F62-F65</f>
        <v>397.002857142857</v>
      </c>
      <c r="G66" s="38" t="n">
        <f aca="false">G61+G62-G65</f>
        <v>330.835714285714</v>
      </c>
      <c r="H66" s="38" t="n">
        <f aca="false">H61+H62-H65</f>
        <v>264.668571428571</v>
      </c>
      <c r="I66" s="38" t="n">
        <f aca="false">I61+I62-I65</f>
        <v>198.501428571429</v>
      </c>
      <c r="J66" s="38" t="n">
        <f aca="false">J61+J62-J65</f>
        <v>132.334285714286</v>
      </c>
      <c r="K66" s="38" t="n">
        <f aca="false">K61+K62-K65</f>
        <v>66.1671428571429</v>
      </c>
      <c r="L66" s="38" t="n">
        <f aca="false">L61+L62-L65</f>
        <v>0</v>
      </c>
      <c r="M66" s="38" t="n">
        <f aca="false">M61+M62-M65</f>
        <v>0</v>
      </c>
    </row>
    <row r="67" customFormat="false" ht="15" hidden="false" customHeight="false" outlineLevel="0" collapsed="false">
      <c r="A67" s="24" t="s">
        <v>268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</row>
    <row r="68" customFormat="false" ht="15" hidden="false" customHeight="false" outlineLevel="0" collapsed="false">
      <c r="A68" s="26" t="s">
        <v>152</v>
      </c>
      <c r="B68" s="36" t="s">
        <v>55</v>
      </c>
      <c r="D68" s="37" t="n">
        <f aca="false">D34</f>
        <v>181.5</v>
      </c>
      <c r="E68" s="37" t="n">
        <f aca="false">E34</f>
        <v>223.08</v>
      </c>
      <c r="F68" s="37" t="n">
        <f aca="false">F34</f>
        <v>267.696</v>
      </c>
      <c r="G68" s="37" t="n">
        <f aca="false">G34</f>
        <v>296.964096</v>
      </c>
      <c r="H68" s="37" t="n">
        <f aca="false">H34</f>
        <v>308.84265984</v>
      </c>
      <c r="I68" s="37" t="n">
        <f aca="false">I34</f>
        <v>329.22627538944</v>
      </c>
      <c r="J68" s="37" t="n">
        <f aca="false">J34</f>
        <v>342.395326405018</v>
      </c>
      <c r="K68" s="37" t="n">
        <f aca="false">K34</f>
        <v>356.091139461218</v>
      </c>
      <c r="L68" s="37" t="n">
        <f aca="false">L34</f>
        <v>370.334785039667</v>
      </c>
      <c r="M68" s="37" t="n">
        <f aca="false">M34</f>
        <v>385.148176441254</v>
      </c>
    </row>
    <row r="69" customFormat="false" ht="15" hidden="false" customHeight="false" outlineLevel="0" collapsed="false">
      <c r="A69" s="26" t="s">
        <v>77</v>
      </c>
      <c r="B69" s="36" t="s">
        <v>55</v>
      </c>
      <c r="D69" s="37" t="n">
        <f aca="false">D44</f>
        <v>77.0703</v>
      </c>
      <c r="E69" s="37" t="n">
        <f aca="false">E44</f>
        <v>85.848575</v>
      </c>
      <c r="F69" s="37" t="n">
        <f aca="false">F44</f>
        <v>95.31816125</v>
      </c>
      <c r="G69" s="37" t="n">
        <f aca="false">G44</f>
        <v>102.71445488</v>
      </c>
      <c r="H69" s="37" t="n">
        <f aca="false">H44</f>
        <v>107.6820735152</v>
      </c>
      <c r="I69" s="37" t="n">
        <f aca="false">I44</f>
        <v>114.152497632071</v>
      </c>
      <c r="J69" s="37" t="n">
        <f aca="false">J44</f>
        <v>119.729446815889</v>
      </c>
      <c r="K69" s="37" t="n">
        <f aca="false">K44</f>
        <v>125.606986674684</v>
      </c>
      <c r="L69" s="37" t="n">
        <f aca="false">L44</f>
        <v>131.801530349457</v>
      </c>
      <c r="M69" s="37" t="n">
        <f aca="false">M44</f>
        <v>138.330397815268</v>
      </c>
    </row>
    <row r="70" customFormat="false" ht="15" hidden="false" customHeight="false" outlineLevel="0" collapsed="false">
      <c r="A70" s="9" t="s">
        <v>20</v>
      </c>
      <c r="B70" s="36" t="s">
        <v>55</v>
      </c>
      <c r="D70" s="38" t="n">
        <f aca="false">D68-D69</f>
        <v>104.4297</v>
      </c>
      <c r="E70" s="38" t="n">
        <f aca="false">E68-E69</f>
        <v>137.231425</v>
      </c>
      <c r="F70" s="38" t="n">
        <f aca="false">F68-F69</f>
        <v>172.37783875</v>
      </c>
      <c r="G70" s="38" t="n">
        <f aca="false">G68-G69</f>
        <v>194.24964112</v>
      </c>
      <c r="H70" s="38" t="n">
        <f aca="false">H68-H69</f>
        <v>201.1605863248</v>
      </c>
      <c r="I70" s="38" t="n">
        <f aca="false">I68-I69</f>
        <v>215.073777757369</v>
      </c>
      <c r="J70" s="38" t="n">
        <f aca="false">J68-J69</f>
        <v>222.665879589128</v>
      </c>
      <c r="K70" s="38" t="n">
        <f aca="false">K68-K69</f>
        <v>230.484152786534</v>
      </c>
      <c r="L70" s="38" t="n">
        <f aca="false">L68-L69</f>
        <v>238.53325469021</v>
      </c>
      <c r="M70" s="38" t="n">
        <f aca="false">M68-M69</f>
        <v>246.817778625986</v>
      </c>
    </row>
    <row r="71" customFormat="false" ht="15" hidden="false" customHeight="false" outlineLevel="0" collapsed="false">
      <c r="A71" s="26" t="s">
        <v>184</v>
      </c>
      <c r="B71" s="36" t="s">
        <v>62</v>
      </c>
      <c r="D71" s="40" t="n">
        <f aca="false">IF(D68=0,0,D70/D68)</f>
        <v>0.575370247933884</v>
      </c>
      <c r="E71" s="40" t="n">
        <f aca="false">IF(E68=0,0,E70/E68)</f>
        <v>0.615166868388022</v>
      </c>
      <c r="F71" s="40" t="n">
        <f aca="false">IF(F68=0,0,F70/F68)</f>
        <v>0.643931320415696</v>
      </c>
      <c r="G71" s="40" t="n">
        <f aca="false">IF(G68=0,0,G70/G68)</f>
        <v>0.654118271321258</v>
      </c>
      <c r="H71" s="40" t="n">
        <f aca="false">IF(H68=0,0,H70/H68)</f>
        <v>0.651336788865288</v>
      </c>
      <c r="I71" s="40" t="n">
        <f aca="false">IF(I68=0,0,I70/I68)</f>
        <v>0.653270391322684</v>
      </c>
      <c r="J71" s="40" t="n">
        <f aca="false">IF(J68=0,0,J70/J68)</f>
        <v>0.650318104300693</v>
      </c>
      <c r="K71" s="40" t="n">
        <f aca="false">IF(K68=0,0,K70/K68)</f>
        <v>0.647261690182089</v>
      </c>
      <c r="L71" s="40" t="n">
        <f aca="false">IF(L68=0,0,L70/L68)</f>
        <v>0.644101673205395</v>
      </c>
      <c r="M71" s="40" t="n">
        <f aca="false">IF(M68=0,0,M70/M68)</f>
        <v>0.640838497293606</v>
      </c>
    </row>
    <row r="72" customFormat="false" ht="15" hidden="false" customHeight="false" outlineLevel="0" collapsed="false">
      <c r="A72" s="26" t="s">
        <v>185</v>
      </c>
      <c r="B72" s="36" t="s">
        <v>55</v>
      </c>
      <c r="D72" s="37" t="n">
        <f aca="false">D53</f>
        <v>42.48</v>
      </c>
      <c r="E72" s="37" t="n">
        <f aca="false">E53</f>
        <v>42.48</v>
      </c>
      <c r="F72" s="37" t="n">
        <f aca="false">F53</f>
        <v>42.48</v>
      </c>
      <c r="G72" s="37" t="n">
        <f aca="false">G53</f>
        <v>42.48</v>
      </c>
      <c r="H72" s="37" t="n">
        <f aca="false">H53</f>
        <v>42.48</v>
      </c>
      <c r="I72" s="37" t="n">
        <f aca="false">I53</f>
        <v>38.08</v>
      </c>
      <c r="J72" s="37" t="n">
        <f aca="false">J53</f>
        <v>38.08</v>
      </c>
      <c r="K72" s="37" t="n">
        <f aca="false">K53</f>
        <v>38.08</v>
      </c>
      <c r="L72" s="37" t="n">
        <f aca="false">L53</f>
        <v>38.08</v>
      </c>
      <c r="M72" s="37" t="n">
        <f aca="false">M53</f>
        <v>38.08</v>
      </c>
    </row>
    <row r="73" customFormat="false" ht="15" hidden="false" customHeight="false" outlineLevel="0" collapsed="false">
      <c r="A73" s="9" t="s">
        <v>186</v>
      </c>
      <c r="B73" s="36" t="s">
        <v>55</v>
      </c>
      <c r="D73" s="43" t="n">
        <f aca="false">D70-D72</f>
        <v>61.9497</v>
      </c>
      <c r="E73" s="43" t="n">
        <f aca="false">E70-E72</f>
        <v>94.751425</v>
      </c>
      <c r="F73" s="43" t="n">
        <f aca="false">F70-F72</f>
        <v>129.89783875</v>
      </c>
      <c r="G73" s="43" t="n">
        <f aca="false">G70-G72</f>
        <v>151.76964112</v>
      </c>
      <c r="H73" s="43" t="n">
        <f aca="false">H70-H72</f>
        <v>158.6805863248</v>
      </c>
      <c r="I73" s="43" t="n">
        <f aca="false">I70-I72</f>
        <v>176.993777757369</v>
      </c>
      <c r="J73" s="43" t="n">
        <f aca="false">J70-J72</f>
        <v>184.585879589128</v>
      </c>
      <c r="K73" s="43" t="n">
        <f aca="false">K70-K72</f>
        <v>192.404152786534</v>
      </c>
      <c r="L73" s="43" t="n">
        <f aca="false">L70-L72</f>
        <v>200.45325469021</v>
      </c>
      <c r="M73" s="43" t="n">
        <f aca="false">M70-M72</f>
        <v>208.737778625986</v>
      </c>
    </row>
    <row r="74" customFormat="false" ht="15" hidden="false" customHeight="false" outlineLevel="0" collapsed="false">
      <c r="A74" s="26" t="s">
        <v>187</v>
      </c>
      <c r="B74" s="36" t="s">
        <v>55</v>
      </c>
      <c r="D74" s="37" t="n">
        <f aca="false">D64</f>
        <v>48.63285</v>
      </c>
      <c r="E74" s="37" t="n">
        <f aca="false">E64</f>
        <v>48.63285</v>
      </c>
      <c r="F74" s="37" t="n">
        <f aca="false">F64</f>
        <v>48.63285</v>
      </c>
      <c r="G74" s="37" t="n">
        <f aca="false">G64</f>
        <v>41.6853</v>
      </c>
      <c r="H74" s="37" t="n">
        <f aca="false">H64</f>
        <v>34.73775</v>
      </c>
      <c r="I74" s="37" t="n">
        <f aca="false">I64</f>
        <v>27.7902</v>
      </c>
      <c r="J74" s="37" t="n">
        <f aca="false">J64</f>
        <v>20.84265</v>
      </c>
      <c r="K74" s="37" t="n">
        <f aca="false">K64</f>
        <v>13.8951</v>
      </c>
      <c r="L74" s="37" t="n">
        <f aca="false">L64</f>
        <v>6.94755</v>
      </c>
      <c r="M74" s="37" t="n">
        <f aca="false">M64</f>
        <v>0</v>
      </c>
    </row>
    <row r="75" customFormat="false" ht="15" hidden="false" customHeight="false" outlineLevel="0" collapsed="false">
      <c r="A75" s="9" t="s">
        <v>188</v>
      </c>
      <c r="B75" s="36" t="s">
        <v>55</v>
      </c>
      <c r="D75" s="38" t="n">
        <f aca="false">D73-D74</f>
        <v>13.31685</v>
      </c>
      <c r="E75" s="38" t="n">
        <f aca="false">E73-E74</f>
        <v>46.118575</v>
      </c>
      <c r="F75" s="38" t="n">
        <f aca="false">F73-F74</f>
        <v>81.26498875</v>
      </c>
      <c r="G75" s="38" t="n">
        <f aca="false">G73-G74</f>
        <v>110.08434112</v>
      </c>
      <c r="H75" s="38" t="n">
        <f aca="false">H73-H74</f>
        <v>123.9428363248</v>
      </c>
      <c r="I75" s="38" t="n">
        <f aca="false">I73-I74</f>
        <v>149.203577757369</v>
      </c>
      <c r="J75" s="38" t="n">
        <f aca="false">J73-J74</f>
        <v>163.743229589128</v>
      </c>
      <c r="K75" s="38" t="n">
        <f aca="false">K73-K74</f>
        <v>178.509052786534</v>
      </c>
      <c r="L75" s="38" t="n">
        <f aca="false">L73-L74</f>
        <v>193.50570469021</v>
      </c>
      <c r="M75" s="38" t="n">
        <f aca="false">M73-M74</f>
        <v>208.737778625986</v>
      </c>
    </row>
    <row r="76" customFormat="false" ht="15" hidden="false" customHeight="false" outlineLevel="0" collapsed="false">
      <c r="A76" s="26" t="s">
        <v>189</v>
      </c>
      <c r="B76" s="36" t="s">
        <v>55</v>
      </c>
      <c r="D76" s="37" t="n">
        <f aca="false">0</f>
        <v>0</v>
      </c>
      <c r="E76" s="37" t="n">
        <f aca="false">D78</f>
        <v>0</v>
      </c>
      <c r="F76" s="37" t="n">
        <f aca="false">E78</f>
        <v>0</v>
      </c>
      <c r="G76" s="37" t="n">
        <f aca="false">F78</f>
        <v>0</v>
      </c>
      <c r="H76" s="37" t="n">
        <f aca="false">G78</f>
        <v>0</v>
      </c>
      <c r="I76" s="37" t="n">
        <f aca="false">H78</f>
        <v>0</v>
      </c>
      <c r="J76" s="37" t="n">
        <f aca="false">I78</f>
        <v>0</v>
      </c>
      <c r="K76" s="37" t="n">
        <f aca="false">J78</f>
        <v>0</v>
      </c>
      <c r="L76" s="37" t="n">
        <f aca="false">K78</f>
        <v>0</v>
      </c>
      <c r="M76" s="37" t="n">
        <f aca="false">L78</f>
        <v>0</v>
      </c>
    </row>
    <row r="77" customFormat="false" ht="15" hidden="false" customHeight="false" outlineLevel="0" collapsed="false">
      <c r="A77" s="26" t="s">
        <v>190</v>
      </c>
      <c r="B77" s="36" t="s">
        <v>55</v>
      </c>
      <c r="D77" s="37" t="n">
        <f aca="false">MAX(0,D75-D76)</f>
        <v>13.31685</v>
      </c>
      <c r="E77" s="37" t="n">
        <f aca="false">MAX(0,E75-E76)</f>
        <v>46.118575</v>
      </c>
      <c r="F77" s="37" t="n">
        <f aca="false">MAX(0,F75-F76)</f>
        <v>81.26498875</v>
      </c>
      <c r="G77" s="37" t="n">
        <f aca="false">MAX(0,G75-G76)</f>
        <v>110.08434112</v>
      </c>
      <c r="H77" s="37" t="n">
        <f aca="false">MAX(0,H75-H76)</f>
        <v>123.9428363248</v>
      </c>
      <c r="I77" s="37" t="n">
        <f aca="false">MAX(0,I75-I76)</f>
        <v>149.203577757369</v>
      </c>
      <c r="J77" s="37" t="n">
        <f aca="false">MAX(0,J75-J76)</f>
        <v>163.743229589128</v>
      </c>
      <c r="K77" s="37" t="n">
        <f aca="false">MAX(0,K75-K76)</f>
        <v>178.509052786534</v>
      </c>
      <c r="L77" s="37" t="n">
        <f aca="false">MAX(0,L75-L76)</f>
        <v>193.50570469021</v>
      </c>
      <c r="M77" s="37" t="n">
        <f aca="false">MAX(0,M75-M76)</f>
        <v>208.737778625986</v>
      </c>
    </row>
    <row r="78" customFormat="false" ht="15" hidden="false" customHeight="false" outlineLevel="0" collapsed="false">
      <c r="A78" s="26" t="s">
        <v>191</v>
      </c>
      <c r="B78" s="36" t="s">
        <v>55</v>
      </c>
      <c r="D78" s="37" t="n">
        <f aca="false">MAX(0,D76-D75)</f>
        <v>0</v>
      </c>
      <c r="E78" s="37" t="n">
        <f aca="false">MAX(0,E76-E75)</f>
        <v>0</v>
      </c>
      <c r="F78" s="37" t="n">
        <f aca="false">MAX(0,F76-F75)</f>
        <v>0</v>
      </c>
      <c r="G78" s="37" t="n">
        <f aca="false">MAX(0,G76-G75)</f>
        <v>0</v>
      </c>
      <c r="H78" s="37" t="n">
        <f aca="false">MAX(0,H76-H75)</f>
        <v>0</v>
      </c>
      <c r="I78" s="37" t="n">
        <f aca="false">MAX(0,I76-I75)</f>
        <v>0</v>
      </c>
      <c r="J78" s="37" t="n">
        <f aca="false">MAX(0,J76-J75)</f>
        <v>0</v>
      </c>
      <c r="K78" s="37" t="n">
        <f aca="false">MAX(0,K76-K75)</f>
        <v>0</v>
      </c>
      <c r="L78" s="37" t="n">
        <f aca="false">MAX(0,L76-L75)</f>
        <v>0</v>
      </c>
      <c r="M78" s="37" t="n">
        <f aca="false">MAX(0,M76-M75)</f>
        <v>0</v>
      </c>
    </row>
    <row r="79" customFormat="false" ht="15" hidden="false" customHeight="false" outlineLevel="0" collapsed="false">
      <c r="A79" s="26" t="s">
        <v>192</v>
      </c>
      <c r="B79" s="36" t="s">
        <v>55</v>
      </c>
      <c r="D79" s="37" t="n">
        <f aca="false">D77*Inputs!$C$44</f>
        <v>3.351851145</v>
      </c>
      <c r="E79" s="37" t="n">
        <f aca="false">E77*Inputs!$C$44</f>
        <v>11.6080453275</v>
      </c>
      <c r="F79" s="37" t="n">
        <f aca="false">F77*Inputs!$C$44</f>
        <v>20.454397668375</v>
      </c>
      <c r="G79" s="37" t="n">
        <f aca="false">G77*Inputs!$C$44</f>
        <v>27.708228659904</v>
      </c>
      <c r="H79" s="37" t="n">
        <f aca="false">H77*Inputs!$C$44</f>
        <v>31.1964119029522</v>
      </c>
      <c r="I79" s="37" t="n">
        <f aca="false">I77*Inputs!$C$44</f>
        <v>37.5545405215299</v>
      </c>
      <c r="J79" s="37" t="n">
        <f aca="false">J77*Inputs!$C$44</f>
        <v>41.2141708875836</v>
      </c>
      <c r="K79" s="37" t="n">
        <f aca="false">K77*Inputs!$C$44</f>
        <v>44.9307285863706</v>
      </c>
      <c r="L79" s="37" t="n">
        <f aca="false">L77*Inputs!$C$44</f>
        <v>48.7053858705258</v>
      </c>
      <c r="M79" s="37" t="n">
        <f aca="false">M77*Inputs!$C$44</f>
        <v>52.5392988801606</v>
      </c>
    </row>
    <row r="80" customFormat="false" ht="15" hidden="false" customHeight="false" outlineLevel="0" collapsed="false">
      <c r="A80" s="9" t="s">
        <v>193</v>
      </c>
      <c r="B80" s="36" t="s">
        <v>55</v>
      </c>
      <c r="D80" s="38" t="n">
        <f aca="false">D75-D79</f>
        <v>9.964998855</v>
      </c>
      <c r="E80" s="38" t="n">
        <f aca="false">E75-E79</f>
        <v>34.5105296725</v>
      </c>
      <c r="F80" s="38" t="n">
        <f aca="false">F75-F79</f>
        <v>60.810591081625</v>
      </c>
      <c r="G80" s="38" t="n">
        <f aca="false">G75-G79</f>
        <v>82.376112460096</v>
      </c>
      <c r="H80" s="38" t="n">
        <f aca="false">H75-H79</f>
        <v>92.7464244218479</v>
      </c>
      <c r="I80" s="38" t="n">
        <f aca="false">I75-I79</f>
        <v>111.649037235839</v>
      </c>
      <c r="J80" s="38" t="n">
        <f aca="false">J75-J79</f>
        <v>122.529058701545</v>
      </c>
      <c r="K80" s="38" t="n">
        <f aca="false">K75-K79</f>
        <v>133.578324200163</v>
      </c>
      <c r="L80" s="38" t="n">
        <f aca="false">L75-L79</f>
        <v>144.800318819684</v>
      </c>
      <c r="M80" s="38" t="n">
        <f aca="false">M75-M79</f>
        <v>156.198479745825</v>
      </c>
    </row>
    <row r="81" customFormat="false" ht="15" hidden="false" customHeight="false" outlineLevel="0" collapsed="false">
      <c r="A81" s="24" t="s">
        <v>269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</row>
    <row r="82" customFormat="false" ht="15" hidden="false" customHeight="false" outlineLevel="0" collapsed="false">
      <c r="A82" s="26" t="s">
        <v>193</v>
      </c>
      <c r="B82" s="36" t="s">
        <v>55</v>
      </c>
      <c r="C82" s="37" t="n">
        <f aca="false">0</f>
        <v>0</v>
      </c>
      <c r="D82" s="37" t="n">
        <f aca="false">D80</f>
        <v>9.964998855</v>
      </c>
      <c r="E82" s="37" t="n">
        <f aca="false">E80</f>
        <v>34.5105296725</v>
      </c>
      <c r="F82" s="37" t="n">
        <f aca="false">F80</f>
        <v>60.810591081625</v>
      </c>
      <c r="G82" s="37" t="n">
        <f aca="false">G80</f>
        <v>82.376112460096</v>
      </c>
      <c r="H82" s="37" t="n">
        <f aca="false">H80</f>
        <v>92.7464244218479</v>
      </c>
      <c r="I82" s="37" t="n">
        <f aca="false">I80</f>
        <v>111.649037235839</v>
      </c>
      <c r="J82" s="37" t="n">
        <f aca="false">J80</f>
        <v>122.529058701545</v>
      </c>
      <c r="K82" s="37" t="n">
        <f aca="false">K80</f>
        <v>133.578324200163</v>
      </c>
      <c r="L82" s="37" t="n">
        <f aca="false">L80</f>
        <v>144.800318819684</v>
      </c>
      <c r="M82" s="37" t="n">
        <f aca="false">M80</f>
        <v>156.198479745825</v>
      </c>
    </row>
    <row r="83" customFormat="false" ht="15" hidden="false" customHeight="false" outlineLevel="0" collapsed="false">
      <c r="A83" s="26" t="s">
        <v>196</v>
      </c>
      <c r="B83" s="36" t="s">
        <v>55</v>
      </c>
      <c r="C83" s="37" t="n">
        <f aca="false">0</f>
        <v>0</v>
      </c>
      <c r="D83" s="37" t="n">
        <f aca="false">D53</f>
        <v>42.48</v>
      </c>
      <c r="E83" s="37" t="n">
        <f aca="false">E53</f>
        <v>42.48</v>
      </c>
      <c r="F83" s="37" t="n">
        <f aca="false">F53</f>
        <v>42.48</v>
      </c>
      <c r="G83" s="37" t="n">
        <f aca="false">G53</f>
        <v>42.48</v>
      </c>
      <c r="H83" s="37" t="n">
        <f aca="false">H53</f>
        <v>42.48</v>
      </c>
      <c r="I83" s="37" t="n">
        <f aca="false">I53</f>
        <v>38.08</v>
      </c>
      <c r="J83" s="37" t="n">
        <f aca="false">J53</f>
        <v>38.08</v>
      </c>
      <c r="K83" s="37" t="n">
        <f aca="false">K53</f>
        <v>38.08</v>
      </c>
      <c r="L83" s="37" t="n">
        <f aca="false">L53</f>
        <v>38.08</v>
      </c>
      <c r="M83" s="37" t="n">
        <f aca="false">M53</f>
        <v>38.08</v>
      </c>
    </row>
    <row r="84" customFormat="false" ht="15" hidden="false" customHeight="false" outlineLevel="0" collapsed="false">
      <c r="A84" s="26" t="s">
        <v>197</v>
      </c>
      <c r="B84" s="36" t="s">
        <v>55</v>
      </c>
      <c r="C84" s="37" t="n">
        <f aca="false">0</f>
        <v>0</v>
      </c>
      <c r="D84" s="37" t="n">
        <f aca="false">-(D57-C57)</f>
        <v>-22.3767123287671</v>
      </c>
      <c r="E84" s="37" t="n">
        <f aca="false">-(E57-D57)</f>
        <v>-5.12630136986302</v>
      </c>
      <c r="F84" s="37" t="n">
        <f aca="false">-(F57-E57)</f>
        <v>-5.50060273972603</v>
      </c>
      <c r="G84" s="37" t="n">
        <f aca="false">-(G57-F57)</f>
        <v>-3.60839539726027</v>
      </c>
      <c r="H84" s="37" t="n">
        <f aca="false">-(H57-G57)</f>
        <v>-1.46448047342466</v>
      </c>
      <c r="I84" s="37" t="n">
        <f aca="false">-(I57-H57)</f>
        <v>-2.51304849239672</v>
      </c>
      <c r="J84" s="37" t="n">
        <f aca="false">-(J57-I57)</f>
        <v>-1.62358163205752</v>
      </c>
      <c r="K84" s="37" t="n">
        <f aca="false">-(K57-J57)</f>
        <v>-1.68852489733982</v>
      </c>
      <c r="L84" s="37" t="n">
        <f aca="false">-(L57-K57)</f>
        <v>-1.75606589323341</v>
      </c>
      <c r="M84" s="37" t="n">
        <f aca="false">-(M57-L57)</f>
        <v>-1.82630852896274</v>
      </c>
    </row>
    <row r="85" customFormat="false" ht="15" hidden="false" customHeight="false" outlineLevel="0" collapsed="false">
      <c r="A85" s="26" t="s">
        <v>198</v>
      </c>
      <c r="B85" s="36" t="s">
        <v>55</v>
      </c>
      <c r="C85" s="37" t="n">
        <f aca="false">0</f>
        <v>0</v>
      </c>
      <c r="D85" s="37" t="n">
        <f aca="false">D58-C58</f>
        <v>6.33454520547945</v>
      </c>
      <c r="E85" s="37" t="n">
        <f aca="false">E58-D58</f>
        <v>0.721502054794522</v>
      </c>
      <c r="F85" s="37" t="n">
        <f aca="false">F58-E58</f>
        <v>0.778322157534246</v>
      </c>
      <c r="G85" s="37" t="n">
        <f aca="false">G58-F58</f>
        <v>0.607914544931508</v>
      </c>
      <c r="H85" s="37" t="n">
        <f aca="false">H58-G58</f>
        <v>0.408297422071232</v>
      </c>
      <c r="I85" s="37" t="n">
        <f aca="false">I58-H58</f>
        <v>0.531815680838689</v>
      </c>
      <c r="J85" s="37" t="n">
        <f aca="false">J58-I58</f>
        <v>0.458379384971401</v>
      </c>
      <c r="K85" s="37" t="n">
        <f aca="false">K58-J58</f>
        <v>0.483085467846156</v>
      </c>
      <c r="L85" s="37" t="n">
        <f aca="false">L58-K58</f>
        <v>0.509140576008747</v>
      </c>
      <c r="M85" s="37" t="n">
        <f aca="false">M58-L58</f>
        <v>0.536619243765276</v>
      </c>
    </row>
    <row r="86" customFormat="false" ht="15" hidden="false" customHeight="false" outlineLevel="0" collapsed="false">
      <c r="A86" s="9" t="s">
        <v>199</v>
      </c>
      <c r="B86" s="36" t="s">
        <v>55</v>
      </c>
      <c r="C86" s="38" t="n">
        <f aca="false">SUM(C82:C85)</f>
        <v>0</v>
      </c>
      <c r="D86" s="38" t="n">
        <f aca="false">SUM(D82:D85)</f>
        <v>36.4028317317123</v>
      </c>
      <c r="E86" s="38" t="n">
        <f aca="false">SUM(E82:E85)</f>
        <v>72.5857303574315</v>
      </c>
      <c r="F86" s="38" t="n">
        <f aca="false">SUM(F82:F85)</f>
        <v>98.5683104994332</v>
      </c>
      <c r="G86" s="38" t="n">
        <f aca="false">SUM(G82:G85)</f>
        <v>121.855631607767</v>
      </c>
      <c r="H86" s="38" t="n">
        <f aca="false">SUM(H82:H85)</f>
        <v>134.170241370494</v>
      </c>
      <c r="I86" s="38" t="n">
        <f aca="false">SUM(I82:I85)</f>
        <v>147.747804424281</v>
      </c>
      <c r="J86" s="38" t="n">
        <f aca="false">SUM(J82:J85)</f>
        <v>159.443856454459</v>
      </c>
      <c r="K86" s="38" t="n">
        <f aca="false">SUM(K82:K85)</f>
        <v>170.45288477067</v>
      </c>
      <c r="L86" s="38" t="n">
        <f aca="false">SUM(L82:L85)</f>
        <v>181.633393502459</v>
      </c>
      <c r="M86" s="38" t="n">
        <f aca="false">SUM(M82:M85)</f>
        <v>192.988790460628</v>
      </c>
    </row>
    <row r="87" customFormat="false" ht="15" hidden="false" customHeight="false" outlineLevel="0" collapsed="false">
      <c r="A87" s="26" t="s">
        <v>200</v>
      </c>
      <c r="B87" s="36" t="s">
        <v>55</v>
      </c>
      <c r="C87" s="37" t="n">
        <f aca="false">-C14</f>
        <v>-753.95</v>
      </c>
      <c r="D87" s="37" t="n">
        <f aca="false">0</f>
        <v>0</v>
      </c>
      <c r="E87" s="37" t="n">
        <f aca="false">0</f>
        <v>0</v>
      </c>
      <c r="F87" s="37" t="n">
        <f aca="false">0</f>
        <v>0</v>
      </c>
      <c r="G87" s="37" t="n">
        <f aca="false">0</f>
        <v>0</v>
      </c>
      <c r="H87" s="37" t="n">
        <f aca="false">0</f>
        <v>0</v>
      </c>
      <c r="I87" s="37" t="n">
        <f aca="false">0</f>
        <v>0</v>
      </c>
      <c r="J87" s="37" t="n">
        <f aca="false">0</f>
        <v>0</v>
      </c>
      <c r="K87" s="37" t="n">
        <f aca="false">0</f>
        <v>0</v>
      </c>
      <c r="L87" s="37" t="n">
        <f aca="false">0</f>
        <v>0</v>
      </c>
      <c r="M87" s="37" t="n">
        <f aca="false">0</f>
        <v>0</v>
      </c>
    </row>
    <row r="88" customFormat="false" ht="15" hidden="false" customHeight="false" outlineLevel="0" collapsed="false">
      <c r="A88" s="9" t="s">
        <v>201</v>
      </c>
      <c r="B88" s="36" t="s">
        <v>55</v>
      </c>
      <c r="C88" s="43" t="n">
        <f aca="false">C87</f>
        <v>-753.95</v>
      </c>
      <c r="D88" s="43" t="n">
        <f aca="false">D87</f>
        <v>0</v>
      </c>
      <c r="E88" s="43" t="n">
        <f aca="false">E87</f>
        <v>0</v>
      </c>
      <c r="F88" s="43" t="n">
        <f aca="false">F87</f>
        <v>0</v>
      </c>
      <c r="G88" s="43" t="n">
        <f aca="false">G87</f>
        <v>0</v>
      </c>
      <c r="H88" s="43" t="n">
        <f aca="false">H87</f>
        <v>0</v>
      </c>
      <c r="I88" s="43" t="n">
        <f aca="false">I87</f>
        <v>0</v>
      </c>
      <c r="J88" s="43" t="n">
        <f aca="false">J87</f>
        <v>0</v>
      </c>
      <c r="K88" s="43" t="n">
        <f aca="false">K87</f>
        <v>0</v>
      </c>
      <c r="L88" s="43" t="n">
        <f aca="false">L87</f>
        <v>0</v>
      </c>
      <c r="M88" s="43" t="n">
        <f aca="false">M87</f>
        <v>0</v>
      </c>
    </row>
    <row r="89" customFormat="false" ht="15" hidden="false" customHeight="false" outlineLevel="0" collapsed="false">
      <c r="A89" s="26" t="s">
        <v>202</v>
      </c>
      <c r="B89" s="36" t="s">
        <v>55</v>
      </c>
      <c r="C89" s="37" t="n">
        <f aca="false">C20</f>
        <v>308.78</v>
      </c>
      <c r="D89" s="37" t="n">
        <f aca="false">0</f>
        <v>0</v>
      </c>
      <c r="E89" s="37" t="n">
        <f aca="false">0</f>
        <v>0</v>
      </c>
      <c r="F89" s="37" t="n">
        <f aca="false">0</f>
        <v>0</v>
      </c>
      <c r="G89" s="37" t="n">
        <f aca="false">0</f>
        <v>0</v>
      </c>
      <c r="H89" s="37" t="n">
        <f aca="false">0</f>
        <v>0</v>
      </c>
      <c r="I89" s="37" t="n">
        <f aca="false">0</f>
        <v>0</v>
      </c>
      <c r="J89" s="37" t="n">
        <f aca="false">0</f>
        <v>0</v>
      </c>
      <c r="K89" s="37" t="n">
        <f aca="false">0</f>
        <v>0</v>
      </c>
      <c r="L89" s="37" t="n">
        <f aca="false">0</f>
        <v>0</v>
      </c>
      <c r="M89" s="37" t="n">
        <f aca="false">0</f>
        <v>0</v>
      </c>
    </row>
    <row r="90" customFormat="false" ht="15" hidden="false" customHeight="false" outlineLevel="0" collapsed="false">
      <c r="A90" s="26" t="s">
        <v>203</v>
      </c>
      <c r="B90" s="36" t="s">
        <v>55</v>
      </c>
      <c r="C90" s="37" t="n">
        <f aca="false">C62</f>
        <v>463.17</v>
      </c>
      <c r="D90" s="37" t="n">
        <f aca="false">D62</f>
        <v>0</v>
      </c>
      <c r="E90" s="37" t="n">
        <f aca="false">E62</f>
        <v>0</v>
      </c>
      <c r="F90" s="37" t="n">
        <f aca="false">F62</f>
        <v>0</v>
      </c>
      <c r="G90" s="37" t="n">
        <f aca="false">G62</f>
        <v>0</v>
      </c>
      <c r="H90" s="37" t="n">
        <f aca="false">H62</f>
        <v>0</v>
      </c>
      <c r="I90" s="37" t="n">
        <f aca="false">I62</f>
        <v>0</v>
      </c>
      <c r="J90" s="37" t="n">
        <f aca="false">J62</f>
        <v>0</v>
      </c>
      <c r="K90" s="37" t="n">
        <f aca="false">K62</f>
        <v>0</v>
      </c>
      <c r="L90" s="37" t="n">
        <f aca="false">L62</f>
        <v>0</v>
      </c>
      <c r="M90" s="37" t="n">
        <f aca="false">M62</f>
        <v>0</v>
      </c>
    </row>
    <row r="91" customFormat="false" ht="15" hidden="false" customHeight="false" outlineLevel="0" collapsed="false">
      <c r="A91" s="26" t="s">
        <v>204</v>
      </c>
      <c r="B91" s="36" t="s">
        <v>55</v>
      </c>
      <c r="C91" s="37" t="n">
        <f aca="false">-C65</f>
        <v>-0</v>
      </c>
      <c r="D91" s="37" t="n">
        <f aca="false">-D65</f>
        <v>-0</v>
      </c>
      <c r="E91" s="37" t="n">
        <f aca="false">-E65</f>
        <v>-0</v>
      </c>
      <c r="F91" s="37" t="n">
        <f aca="false">-F65</f>
        <v>-66.1671428571429</v>
      </c>
      <c r="G91" s="37" t="n">
        <f aca="false">-G65</f>
        <v>-66.1671428571429</v>
      </c>
      <c r="H91" s="37" t="n">
        <f aca="false">-H65</f>
        <v>-66.1671428571429</v>
      </c>
      <c r="I91" s="37" t="n">
        <f aca="false">-I65</f>
        <v>-66.1671428571429</v>
      </c>
      <c r="J91" s="37" t="n">
        <f aca="false">-J65</f>
        <v>-66.1671428571429</v>
      </c>
      <c r="K91" s="37" t="n">
        <f aca="false">-K65</f>
        <v>-66.1671428571429</v>
      </c>
      <c r="L91" s="37" t="n">
        <f aca="false">-L65</f>
        <v>-66.1671428571429</v>
      </c>
      <c r="M91" s="37" t="n">
        <f aca="false">-M65</f>
        <v>-0</v>
      </c>
    </row>
    <row r="92" customFormat="false" ht="15" hidden="false" customHeight="false" outlineLevel="0" collapsed="false">
      <c r="A92" s="9" t="s">
        <v>205</v>
      </c>
      <c r="B92" s="36" t="s">
        <v>55</v>
      </c>
      <c r="C92" s="38" t="n">
        <f aca="false">SUM(C89:C91)</f>
        <v>771.95</v>
      </c>
      <c r="D92" s="38" t="n">
        <f aca="false">SUM(D89:D91)</f>
        <v>0</v>
      </c>
      <c r="E92" s="38" t="n">
        <f aca="false">SUM(E89:E91)</f>
        <v>0</v>
      </c>
      <c r="F92" s="38" t="n">
        <f aca="false">SUM(F89:F91)</f>
        <v>-66.1671428571429</v>
      </c>
      <c r="G92" s="38" t="n">
        <f aca="false">SUM(G89:G91)</f>
        <v>-66.1671428571429</v>
      </c>
      <c r="H92" s="38" t="n">
        <f aca="false">SUM(H89:H91)</f>
        <v>-66.1671428571429</v>
      </c>
      <c r="I92" s="38" t="n">
        <f aca="false">SUM(I89:I91)</f>
        <v>-66.1671428571429</v>
      </c>
      <c r="J92" s="38" t="n">
        <f aca="false">SUM(J89:J91)</f>
        <v>-66.1671428571429</v>
      </c>
      <c r="K92" s="38" t="n">
        <f aca="false">SUM(K89:K91)</f>
        <v>-66.1671428571429</v>
      </c>
      <c r="L92" s="38" t="n">
        <f aca="false">SUM(L89:L91)</f>
        <v>-66.1671428571429</v>
      </c>
      <c r="M92" s="38" t="n">
        <f aca="false">SUM(M89:M91)</f>
        <v>0</v>
      </c>
    </row>
    <row r="93" customFormat="false" ht="15" hidden="false" customHeight="false" outlineLevel="0" collapsed="false">
      <c r="A93" s="9" t="s">
        <v>206</v>
      </c>
      <c r="B93" s="36" t="s">
        <v>55</v>
      </c>
      <c r="C93" s="43" t="n">
        <f aca="false">C86+C88+C92</f>
        <v>18</v>
      </c>
      <c r="D93" s="43" t="n">
        <f aca="false">D86+D88+D92</f>
        <v>36.4028317317123</v>
      </c>
      <c r="E93" s="43" t="n">
        <f aca="false">E86+E88+E92</f>
        <v>72.5857303574315</v>
      </c>
      <c r="F93" s="43" t="n">
        <f aca="false">F86+F88+F92</f>
        <v>32.4011676422904</v>
      </c>
      <c r="G93" s="43" t="n">
        <f aca="false">G86+G88+G92</f>
        <v>55.6884887506244</v>
      </c>
      <c r="H93" s="43" t="n">
        <f aca="false">H86+H88+H92</f>
        <v>68.0030985133516</v>
      </c>
      <c r="I93" s="43" t="n">
        <f aca="false">I86+I88+I92</f>
        <v>81.5806615671386</v>
      </c>
      <c r="J93" s="43" t="n">
        <f aca="false">J86+J88+J92</f>
        <v>93.2767135973157</v>
      </c>
      <c r="K93" s="43" t="n">
        <f aca="false">K86+K88+K92</f>
        <v>104.285741913527</v>
      </c>
      <c r="L93" s="43" t="n">
        <f aca="false">L86+L88+L92</f>
        <v>115.466250645316</v>
      </c>
      <c r="M93" s="43" t="n">
        <f aca="false">M86+M88+M92</f>
        <v>192.988790460628</v>
      </c>
    </row>
    <row r="94" customFormat="false" ht="15" hidden="false" customHeight="false" outlineLevel="0" collapsed="false">
      <c r="A94" s="26" t="s">
        <v>207</v>
      </c>
      <c r="B94" s="36" t="s">
        <v>55</v>
      </c>
      <c r="C94" s="37" t="n">
        <f aca="false">0</f>
        <v>0</v>
      </c>
      <c r="D94" s="37" t="n">
        <f aca="false">C95</f>
        <v>18</v>
      </c>
      <c r="E94" s="37" t="n">
        <f aca="false">D95</f>
        <v>54.4028317317123</v>
      </c>
      <c r="F94" s="37" t="n">
        <f aca="false">E95</f>
        <v>126.988562089144</v>
      </c>
      <c r="G94" s="37" t="n">
        <f aca="false">F95</f>
        <v>159.389729731434</v>
      </c>
      <c r="H94" s="37" t="n">
        <f aca="false">G95</f>
        <v>215.078218482059</v>
      </c>
      <c r="I94" s="37" t="n">
        <f aca="false">H95</f>
        <v>283.08131699541</v>
      </c>
      <c r="J94" s="37" t="n">
        <f aca="false">I95</f>
        <v>364.661978562549</v>
      </c>
      <c r="K94" s="37" t="n">
        <f aca="false">J95</f>
        <v>457.938692159864</v>
      </c>
      <c r="L94" s="37" t="n">
        <f aca="false">K95</f>
        <v>562.224434073391</v>
      </c>
      <c r="M94" s="37" t="n">
        <f aca="false">L95</f>
        <v>677.690684718708</v>
      </c>
    </row>
    <row r="95" customFormat="false" ht="15" hidden="false" customHeight="false" outlineLevel="0" collapsed="false">
      <c r="A95" s="9" t="s">
        <v>28</v>
      </c>
      <c r="B95" s="36" t="s">
        <v>55</v>
      </c>
      <c r="C95" s="38" t="n">
        <f aca="false">C94+C93</f>
        <v>18</v>
      </c>
      <c r="D95" s="38" t="n">
        <f aca="false">D94+D93</f>
        <v>54.4028317317123</v>
      </c>
      <c r="E95" s="38" t="n">
        <f aca="false">E94+E93</f>
        <v>126.988562089144</v>
      </c>
      <c r="F95" s="38" t="n">
        <f aca="false">F94+F93</f>
        <v>159.389729731434</v>
      </c>
      <c r="G95" s="38" t="n">
        <f aca="false">G94+G93</f>
        <v>215.078218482059</v>
      </c>
      <c r="H95" s="38" t="n">
        <f aca="false">H94+H93</f>
        <v>283.08131699541</v>
      </c>
      <c r="I95" s="38" t="n">
        <f aca="false">I94+I93</f>
        <v>364.661978562549</v>
      </c>
      <c r="J95" s="38" t="n">
        <f aca="false">J94+J93</f>
        <v>457.938692159864</v>
      </c>
      <c r="K95" s="38" t="n">
        <f aca="false">K94+K93</f>
        <v>562.224434073391</v>
      </c>
      <c r="L95" s="38" t="n">
        <f aca="false">L94+L93</f>
        <v>677.690684718708</v>
      </c>
      <c r="M95" s="38" t="n">
        <f aca="false">M94+M93</f>
        <v>870.679475179335</v>
      </c>
    </row>
    <row r="96" customFormat="false" ht="15" hidden="false" customHeight="false" outlineLevel="0" collapsed="false">
      <c r="A96" s="24" t="s">
        <v>270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</row>
    <row r="97" customFormat="false" ht="15" hidden="false" customHeight="false" outlineLevel="0" collapsed="false">
      <c r="A97" s="26" t="s">
        <v>210</v>
      </c>
      <c r="B97" s="36" t="s">
        <v>55</v>
      </c>
      <c r="C97" s="37" t="n">
        <f aca="false">C54</f>
        <v>753.95</v>
      </c>
      <c r="D97" s="37" t="n">
        <f aca="false">D54</f>
        <v>711.47</v>
      </c>
      <c r="E97" s="37" t="n">
        <f aca="false">E54</f>
        <v>668.99</v>
      </c>
      <c r="F97" s="37" t="n">
        <f aca="false">F54</f>
        <v>626.51</v>
      </c>
      <c r="G97" s="37" t="n">
        <f aca="false">G54</f>
        <v>584.03</v>
      </c>
      <c r="H97" s="37" t="n">
        <f aca="false">H54</f>
        <v>541.55</v>
      </c>
      <c r="I97" s="37" t="n">
        <f aca="false">I54</f>
        <v>503.47</v>
      </c>
      <c r="J97" s="37" t="n">
        <f aca="false">J54</f>
        <v>465.39</v>
      </c>
      <c r="K97" s="37" t="n">
        <f aca="false">K54</f>
        <v>427.31</v>
      </c>
      <c r="L97" s="37" t="n">
        <f aca="false">L54</f>
        <v>389.23</v>
      </c>
      <c r="M97" s="37" t="n">
        <f aca="false">M54</f>
        <v>351.15</v>
      </c>
    </row>
    <row r="98" customFormat="false" ht="15" hidden="false" customHeight="false" outlineLevel="0" collapsed="false">
      <c r="A98" s="26" t="s">
        <v>171</v>
      </c>
      <c r="B98" s="36" t="s">
        <v>55</v>
      </c>
      <c r="C98" s="37" t="n">
        <f aca="false">C57</f>
        <v>0</v>
      </c>
      <c r="D98" s="37" t="n">
        <f aca="false">D57</f>
        <v>22.3767123287671</v>
      </c>
      <c r="E98" s="37" t="n">
        <f aca="false">E57</f>
        <v>27.5030136986301</v>
      </c>
      <c r="F98" s="37" t="n">
        <f aca="false">F57</f>
        <v>33.0036164383562</v>
      </c>
      <c r="G98" s="37" t="n">
        <f aca="false">G57</f>
        <v>36.6120118356164</v>
      </c>
      <c r="H98" s="37" t="n">
        <f aca="false">H57</f>
        <v>38.0764923090411</v>
      </c>
      <c r="I98" s="37" t="n">
        <f aca="false">I57</f>
        <v>40.5895408014378</v>
      </c>
      <c r="J98" s="37" t="n">
        <f aca="false">J57</f>
        <v>42.2131224334953</v>
      </c>
      <c r="K98" s="37" t="n">
        <f aca="false">K57</f>
        <v>43.9016473308352</v>
      </c>
      <c r="L98" s="37" t="n">
        <f aca="false">L57</f>
        <v>45.6577132240686</v>
      </c>
      <c r="M98" s="37" t="n">
        <f aca="false">M57</f>
        <v>47.4840217530313</v>
      </c>
    </row>
    <row r="99" customFormat="false" ht="15" hidden="false" customHeight="false" outlineLevel="0" collapsed="false">
      <c r="A99" s="26" t="s">
        <v>211</v>
      </c>
      <c r="B99" s="36" t="s">
        <v>55</v>
      </c>
      <c r="C99" s="37" t="n">
        <f aca="false">C95</f>
        <v>18</v>
      </c>
      <c r="D99" s="37" t="n">
        <f aca="false">D95</f>
        <v>54.4028317317123</v>
      </c>
      <c r="E99" s="37" t="n">
        <f aca="false">E95</f>
        <v>126.988562089144</v>
      </c>
      <c r="F99" s="37" t="n">
        <f aca="false">F95</f>
        <v>159.389729731434</v>
      </c>
      <c r="G99" s="37" t="n">
        <f aca="false">G95</f>
        <v>215.078218482059</v>
      </c>
      <c r="H99" s="37" t="n">
        <f aca="false">H95</f>
        <v>283.08131699541</v>
      </c>
      <c r="I99" s="37" t="n">
        <f aca="false">I95</f>
        <v>364.661978562549</v>
      </c>
      <c r="J99" s="37" t="n">
        <f aca="false">J95</f>
        <v>457.938692159864</v>
      </c>
      <c r="K99" s="37" t="n">
        <f aca="false">K95</f>
        <v>562.224434073391</v>
      </c>
      <c r="L99" s="37" t="n">
        <f aca="false">L95</f>
        <v>677.690684718708</v>
      </c>
      <c r="M99" s="37" t="n">
        <f aca="false">M95</f>
        <v>870.679475179335</v>
      </c>
    </row>
    <row r="100" customFormat="false" ht="15" hidden="false" customHeight="false" outlineLevel="0" collapsed="false">
      <c r="A100" s="9" t="s">
        <v>212</v>
      </c>
      <c r="B100" s="36" t="s">
        <v>55</v>
      </c>
      <c r="C100" s="38" t="n">
        <f aca="false">SUM(C97:C99)</f>
        <v>771.95</v>
      </c>
      <c r="D100" s="38" t="n">
        <f aca="false">SUM(D97:D99)</f>
        <v>788.24954406048</v>
      </c>
      <c r="E100" s="38" t="n">
        <f aca="false">SUM(E97:E99)</f>
        <v>823.481575787774</v>
      </c>
      <c r="F100" s="38" t="n">
        <f aca="false">SUM(F97:F99)</f>
        <v>818.90334616979</v>
      </c>
      <c r="G100" s="38" t="n">
        <f aca="false">SUM(G97:G99)</f>
        <v>835.720230317675</v>
      </c>
      <c r="H100" s="38" t="n">
        <f aca="false">SUM(H97:H99)</f>
        <v>862.707809304451</v>
      </c>
      <c r="I100" s="38" t="n">
        <f aca="false">SUM(I97:I99)</f>
        <v>908.721519363987</v>
      </c>
      <c r="J100" s="38" t="n">
        <f aca="false">SUM(J97:J99)</f>
        <v>965.54181459336</v>
      </c>
      <c r="K100" s="38" t="n">
        <f aca="false">SUM(K97:K99)</f>
        <v>1033.43608140423</v>
      </c>
      <c r="L100" s="38" t="n">
        <f aca="false">SUM(L97:L99)</f>
        <v>1112.57839794278</v>
      </c>
      <c r="M100" s="38" t="n">
        <f aca="false">SUM(M97:M99)</f>
        <v>1269.31349693237</v>
      </c>
    </row>
    <row r="101" customFormat="false" ht="15" hidden="false" customHeight="false" outlineLevel="0" collapsed="false">
      <c r="A101" s="26" t="s">
        <v>213</v>
      </c>
      <c r="B101" s="36" t="s">
        <v>55</v>
      </c>
      <c r="C101" s="37" t="n">
        <f aca="false">C89</f>
        <v>308.78</v>
      </c>
      <c r="D101" s="37" t="n">
        <f aca="false">C101+D89</f>
        <v>308.78</v>
      </c>
      <c r="E101" s="37" t="n">
        <f aca="false">D101+E89</f>
        <v>308.78</v>
      </c>
      <c r="F101" s="37" t="n">
        <f aca="false">E101+F89</f>
        <v>308.78</v>
      </c>
      <c r="G101" s="37" t="n">
        <f aca="false">F101+G89</f>
        <v>308.78</v>
      </c>
      <c r="H101" s="37" t="n">
        <f aca="false">G101+H89</f>
        <v>308.78</v>
      </c>
      <c r="I101" s="37" t="n">
        <f aca="false">H101+I89</f>
        <v>308.78</v>
      </c>
      <c r="J101" s="37" t="n">
        <f aca="false">I101+J89</f>
        <v>308.78</v>
      </c>
      <c r="K101" s="37" t="n">
        <f aca="false">J101+K89</f>
        <v>308.78</v>
      </c>
      <c r="L101" s="37" t="n">
        <f aca="false">K101+L89</f>
        <v>308.78</v>
      </c>
      <c r="M101" s="37" t="n">
        <f aca="false">L101+M89</f>
        <v>308.78</v>
      </c>
    </row>
    <row r="102" customFormat="false" ht="15" hidden="false" customHeight="false" outlineLevel="0" collapsed="false">
      <c r="A102" s="26" t="s">
        <v>214</v>
      </c>
      <c r="B102" s="36" t="s">
        <v>55</v>
      </c>
      <c r="C102" s="37" t="n">
        <f aca="false">C82</f>
        <v>0</v>
      </c>
      <c r="D102" s="37" t="n">
        <f aca="false">C102+D82</f>
        <v>9.964998855</v>
      </c>
      <c r="E102" s="37" t="n">
        <f aca="false">D102+E82</f>
        <v>44.4755285275</v>
      </c>
      <c r="F102" s="37" t="n">
        <f aca="false">E102+F82</f>
        <v>105.286119609125</v>
      </c>
      <c r="G102" s="37" t="n">
        <f aca="false">F102+G82</f>
        <v>187.662232069221</v>
      </c>
      <c r="H102" s="37" t="n">
        <f aca="false">G102+H82</f>
        <v>280.408656491069</v>
      </c>
      <c r="I102" s="37" t="n">
        <f aca="false">H102+I82</f>
        <v>392.057693726908</v>
      </c>
      <c r="J102" s="37" t="n">
        <f aca="false">I102+J82</f>
        <v>514.586752428453</v>
      </c>
      <c r="K102" s="37" t="n">
        <f aca="false">J102+K82</f>
        <v>648.165076628616</v>
      </c>
      <c r="L102" s="37" t="n">
        <f aca="false">K102+L82</f>
        <v>792.9653954483</v>
      </c>
      <c r="M102" s="37" t="n">
        <f aca="false">L102+M82</f>
        <v>949.163875194125</v>
      </c>
    </row>
    <row r="103" customFormat="false" ht="15" hidden="false" customHeight="false" outlineLevel="0" collapsed="false">
      <c r="A103" s="26" t="s">
        <v>17</v>
      </c>
      <c r="B103" s="36" t="s">
        <v>55</v>
      </c>
      <c r="C103" s="37" t="n">
        <f aca="false">C66</f>
        <v>463.17</v>
      </c>
      <c r="D103" s="37" t="n">
        <f aca="false">D66</f>
        <v>463.17</v>
      </c>
      <c r="E103" s="37" t="n">
        <f aca="false">E66</f>
        <v>463.17</v>
      </c>
      <c r="F103" s="37" t="n">
        <f aca="false">F66</f>
        <v>397.002857142857</v>
      </c>
      <c r="G103" s="37" t="n">
        <f aca="false">G66</f>
        <v>330.835714285714</v>
      </c>
      <c r="H103" s="37" t="n">
        <f aca="false">H66</f>
        <v>264.668571428571</v>
      </c>
      <c r="I103" s="37" t="n">
        <f aca="false">I66</f>
        <v>198.501428571429</v>
      </c>
      <c r="J103" s="37" t="n">
        <f aca="false">J66</f>
        <v>132.334285714286</v>
      </c>
      <c r="K103" s="37" t="n">
        <f aca="false">K66</f>
        <v>66.1671428571429</v>
      </c>
      <c r="L103" s="37" t="n">
        <f aca="false">L66</f>
        <v>0</v>
      </c>
      <c r="M103" s="37" t="n">
        <f aca="false">M66</f>
        <v>0</v>
      </c>
    </row>
    <row r="104" customFormat="false" ht="15" hidden="false" customHeight="false" outlineLevel="0" collapsed="false">
      <c r="A104" s="26" t="s">
        <v>172</v>
      </c>
      <c r="B104" s="36" t="s">
        <v>55</v>
      </c>
      <c r="C104" s="37" t="n">
        <f aca="false">C58</f>
        <v>0</v>
      </c>
      <c r="D104" s="37" t="n">
        <f aca="false">D58</f>
        <v>6.33454520547945</v>
      </c>
      <c r="E104" s="37" t="n">
        <f aca="false">E58</f>
        <v>7.05604726027397</v>
      </c>
      <c r="F104" s="37" t="n">
        <f aca="false">F58</f>
        <v>7.83436941780822</v>
      </c>
      <c r="G104" s="37" t="n">
        <f aca="false">G58</f>
        <v>8.44228396273973</v>
      </c>
      <c r="H104" s="37" t="n">
        <f aca="false">H58</f>
        <v>8.85058138481096</v>
      </c>
      <c r="I104" s="37" t="n">
        <f aca="false">I58</f>
        <v>9.38239706564965</v>
      </c>
      <c r="J104" s="37" t="n">
        <f aca="false">J58</f>
        <v>9.84077645062105</v>
      </c>
      <c r="K104" s="37" t="n">
        <f aca="false">K58</f>
        <v>10.3238619184672</v>
      </c>
      <c r="L104" s="37" t="n">
        <f aca="false">L58</f>
        <v>10.833002494476</v>
      </c>
      <c r="M104" s="37" t="n">
        <f aca="false">M58</f>
        <v>11.3696217382412</v>
      </c>
    </row>
    <row r="105" customFormat="false" ht="15" hidden="false" customHeight="false" outlineLevel="0" collapsed="false">
      <c r="A105" s="9" t="s">
        <v>215</v>
      </c>
      <c r="B105" s="36" t="s">
        <v>55</v>
      </c>
      <c r="C105" s="38" t="n">
        <f aca="false">SUM(C101:C104)</f>
        <v>771.95</v>
      </c>
      <c r="D105" s="38" t="n">
        <f aca="false">SUM(D101:D104)</f>
        <v>788.24954406048</v>
      </c>
      <c r="E105" s="38" t="n">
        <f aca="false">SUM(E101:E104)</f>
        <v>823.481575787774</v>
      </c>
      <c r="F105" s="38" t="n">
        <f aca="false">SUM(F101:F104)</f>
        <v>818.90334616979</v>
      </c>
      <c r="G105" s="38" t="n">
        <f aca="false">SUM(G101:G104)</f>
        <v>835.720230317675</v>
      </c>
      <c r="H105" s="38" t="n">
        <f aca="false">SUM(H101:H104)</f>
        <v>862.707809304451</v>
      </c>
      <c r="I105" s="38" t="n">
        <f aca="false">SUM(I101:I104)</f>
        <v>908.721519363987</v>
      </c>
      <c r="J105" s="38" t="n">
        <f aca="false">SUM(J101:J104)</f>
        <v>965.54181459336</v>
      </c>
      <c r="K105" s="38" t="n">
        <f aca="false">SUM(K101:K104)</f>
        <v>1033.43608140423</v>
      </c>
      <c r="L105" s="38" t="n">
        <f aca="false">SUM(L101:L104)</f>
        <v>1112.57839794278</v>
      </c>
      <c r="M105" s="38" t="n">
        <f aca="false">SUM(M101:M104)</f>
        <v>1269.31349693237</v>
      </c>
    </row>
    <row r="106" customFormat="false" ht="15" hidden="false" customHeight="false" outlineLevel="0" collapsed="false">
      <c r="A106" s="26" t="s">
        <v>216</v>
      </c>
      <c r="B106" s="36" t="s">
        <v>55</v>
      </c>
      <c r="C106" s="37" t="n">
        <f aca="false">ROUND(C100-C105,6)</f>
        <v>0</v>
      </c>
      <c r="D106" s="37" t="n">
        <f aca="false">ROUND(D100-D105,6)</f>
        <v>0</v>
      </c>
      <c r="E106" s="37" t="n">
        <f aca="false">ROUND(E100-E105,6)</f>
        <v>0</v>
      </c>
      <c r="F106" s="37" t="n">
        <f aca="false">ROUND(F100-F105,6)</f>
        <v>0</v>
      </c>
      <c r="G106" s="37" t="n">
        <f aca="false">ROUND(G100-G105,6)</f>
        <v>0</v>
      </c>
      <c r="H106" s="37" t="n">
        <f aca="false">ROUND(H100-H105,6)</f>
        <v>0</v>
      </c>
      <c r="I106" s="37" t="n">
        <f aca="false">ROUND(I100-I105,6)</f>
        <v>0</v>
      </c>
      <c r="J106" s="37" t="n">
        <f aca="false">ROUND(J100-J105,6)</f>
        <v>0</v>
      </c>
      <c r="K106" s="37" t="n">
        <f aca="false">ROUND(K100-K105,6)</f>
        <v>0</v>
      </c>
      <c r="L106" s="37" t="n">
        <f aca="false">ROUND(L100-L105,6)</f>
        <v>0</v>
      </c>
      <c r="M106" s="37" t="n">
        <f aca="false">ROUND(M100-M105,6)</f>
        <v>0</v>
      </c>
    </row>
    <row r="107" customFormat="false" ht="15" hidden="false" customHeight="false" outlineLevel="0" collapsed="false">
      <c r="A107" s="24" t="s">
        <v>271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</row>
    <row r="108" customFormat="false" ht="15" hidden="false" customHeight="false" outlineLevel="0" collapsed="false">
      <c r="A108" s="26" t="s">
        <v>219</v>
      </c>
      <c r="B108" s="36" t="s">
        <v>55</v>
      </c>
      <c r="D108" s="37" t="n">
        <f aca="false">D80+D53+D64</f>
        <v>101.077848855</v>
      </c>
      <c r="E108" s="37" t="n">
        <f aca="false">E80+E53+E64</f>
        <v>125.6233796725</v>
      </c>
      <c r="F108" s="37" t="n">
        <f aca="false">F80+F53+F64</f>
        <v>151.923441081625</v>
      </c>
      <c r="G108" s="37" t="n">
        <f aca="false">G80+G53+G64</f>
        <v>166.541412460096</v>
      </c>
      <c r="H108" s="37" t="n">
        <f aca="false">H80+H53+H64</f>
        <v>169.964174421848</v>
      </c>
      <c r="I108" s="37" t="n">
        <f aca="false">I80+I53+I64</f>
        <v>177.519237235839</v>
      </c>
      <c r="J108" s="37" t="n">
        <f aca="false">J80+J53+J64</f>
        <v>181.451708701545</v>
      </c>
      <c r="K108" s="37" t="n">
        <f aca="false">K80+K53+K64</f>
        <v>185.553424200163</v>
      </c>
      <c r="L108" s="37" t="n">
        <f aca="false">L80+L53+L64</f>
        <v>189.827868819684</v>
      </c>
      <c r="M108" s="37" t="n">
        <f aca="false">M80+M53+M64</f>
        <v>194.278479745825</v>
      </c>
    </row>
    <row r="109" customFormat="false" ht="15" hidden="false" customHeight="false" outlineLevel="0" collapsed="false">
      <c r="A109" s="26" t="s">
        <v>220</v>
      </c>
      <c r="B109" s="36" t="s">
        <v>55</v>
      </c>
      <c r="D109" s="37" t="n">
        <f aca="false">D64+D65</f>
        <v>48.63285</v>
      </c>
      <c r="E109" s="37" t="n">
        <f aca="false">E64+E65</f>
        <v>48.63285</v>
      </c>
      <c r="F109" s="37" t="n">
        <f aca="false">F64+F65</f>
        <v>114.799992857143</v>
      </c>
      <c r="G109" s="37" t="n">
        <f aca="false">G64+G65</f>
        <v>107.852442857143</v>
      </c>
      <c r="H109" s="37" t="n">
        <f aca="false">H64+H65</f>
        <v>100.904892857143</v>
      </c>
      <c r="I109" s="37" t="n">
        <f aca="false">I64+I65</f>
        <v>93.9573428571429</v>
      </c>
      <c r="J109" s="37" t="n">
        <f aca="false">J64+J65</f>
        <v>87.0097928571429</v>
      </c>
      <c r="K109" s="37" t="n">
        <f aca="false">K64+K65</f>
        <v>80.0622428571429</v>
      </c>
      <c r="L109" s="37" t="n">
        <f aca="false">L64+L65</f>
        <v>73.1146928571429</v>
      </c>
      <c r="M109" s="37" t="n">
        <f aca="false">M64+M65</f>
        <v>0</v>
      </c>
    </row>
    <row r="110" customFormat="false" ht="15" hidden="false" customHeight="false" outlineLevel="0" collapsed="false">
      <c r="A110" s="26" t="s">
        <v>24</v>
      </c>
      <c r="B110" s="36" t="s">
        <v>104</v>
      </c>
      <c r="D110" s="39" t="n">
        <f aca="false">IF(D109&gt;0,D108/D109,"")</f>
        <v>2.07838629352382</v>
      </c>
      <c r="E110" s="39" t="n">
        <f aca="false">IF(E109&gt;0,E108/E109,"")</f>
        <v>2.58309722075716</v>
      </c>
      <c r="F110" s="39" t="n">
        <f aca="false">IF(F109&gt;0,F108/F109,"")</f>
        <v>1.32337500465421</v>
      </c>
      <c r="G110" s="39" t="n">
        <f aca="false">IF(G109&gt;0,G108/G109,"")</f>
        <v>1.54415985441044</v>
      </c>
      <c r="H110" s="39" t="n">
        <f aca="false">IF(H109&gt;0,H108/H109,"")</f>
        <v>1.68439973136364</v>
      </c>
      <c r="I110" s="39" t="n">
        <f aca="false">IF(I109&gt;0,I108/I109,"")</f>
        <v>1.88935991416603</v>
      </c>
      <c r="J110" s="39" t="n">
        <f aca="false">IF(J109&gt;0,J108/J109,"")</f>
        <v>2.08541708632109</v>
      </c>
      <c r="K110" s="39" t="n">
        <f aca="false">IF(K109&gt;0,K108/K109,"")</f>
        <v>2.31761461555919</v>
      </c>
      <c r="L110" s="39" t="n">
        <f aca="false">IF(L109&gt;0,L108/L109,"")</f>
        <v>2.59630262265595</v>
      </c>
      <c r="M110" s="39" t="str">
        <f aca="false">IF(M109&gt;0,M108/M109,"")</f>
        <v/>
      </c>
    </row>
    <row r="111" customFormat="false" ht="15" hidden="false" customHeight="false" outlineLevel="0" collapsed="false">
      <c r="A111" s="9" t="s">
        <v>221</v>
      </c>
      <c r="B111" s="36" t="s">
        <v>104</v>
      </c>
      <c r="C111" s="44" t="n">
        <f aca="false">MIN(D110:M110)</f>
        <v>1.32337500465421</v>
      </c>
    </row>
    <row r="112" customFormat="false" ht="15" hidden="false" customHeight="false" outlineLevel="0" collapsed="false">
      <c r="A112" s="9" t="s">
        <v>222</v>
      </c>
      <c r="B112" s="36" t="s">
        <v>104</v>
      </c>
      <c r="C112" s="44" t="n">
        <f aca="false">AVERAGE(D110:M110)</f>
        <v>2.01134581593461</v>
      </c>
    </row>
    <row r="114" customFormat="false" ht="15" hidden="false" customHeight="false" outlineLevel="0" collapsed="false">
      <c r="A114" s="24" t="s">
        <v>223</v>
      </c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</row>
    <row r="115" customFormat="false" ht="15" hidden="false" customHeight="false" outlineLevel="0" collapsed="false">
      <c r="A115" s="26" t="s">
        <v>224</v>
      </c>
      <c r="B115" s="36" t="s">
        <v>55</v>
      </c>
      <c r="D115" s="37" t="n">
        <f aca="false">MAX(0,D73)*Inputs!$C$44</f>
        <v>15.59273949</v>
      </c>
      <c r="E115" s="37" t="n">
        <f aca="false">MAX(0,E73)*Inputs!$C$44</f>
        <v>23.8489336725</v>
      </c>
      <c r="F115" s="37" t="n">
        <f aca="false">MAX(0,F73)*Inputs!$C$44</f>
        <v>32.695286013375</v>
      </c>
      <c r="G115" s="37" t="n">
        <f aca="false">MAX(0,G73)*Inputs!$C$44</f>
        <v>38.200418669904</v>
      </c>
      <c r="H115" s="37" t="n">
        <f aca="false">MAX(0,H73)*Inputs!$C$44</f>
        <v>39.9399035779522</v>
      </c>
      <c r="I115" s="37" t="n">
        <f aca="false">MAX(0,I73)*Inputs!$C$44</f>
        <v>44.5493338615299</v>
      </c>
      <c r="J115" s="37" t="n">
        <f aca="false">MAX(0,J73)*Inputs!$C$44</f>
        <v>46.4602658925836</v>
      </c>
      <c r="K115" s="37" t="n">
        <f aca="false">MAX(0,K73)*Inputs!$C$44</f>
        <v>48.4281252563706</v>
      </c>
      <c r="L115" s="37" t="n">
        <f aca="false">MAX(0,L73)*Inputs!$C$44</f>
        <v>50.4540842055258</v>
      </c>
      <c r="M115" s="37" t="n">
        <f aca="false">MAX(0,M73)*Inputs!$C$44</f>
        <v>52.5392988801606</v>
      </c>
    </row>
    <row r="116" customFormat="false" ht="15" hidden="false" customHeight="false" outlineLevel="0" collapsed="false">
      <c r="A116" s="26" t="s">
        <v>225</v>
      </c>
      <c r="B116" s="36" t="s">
        <v>55</v>
      </c>
      <c r="D116" s="37" t="n">
        <f aca="false">D59-C59</f>
        <v>16.0421671232877</v>
      </c>
      <c r="E116" s="37" t="n">
        <f aca="false">E59-D59</f>
        <v>4.40479931506849</v>
      </c>
      <c r="F116" s="37" t="n">
        <f aca="false">F59-E59</f>
        <v>4.72228058219179</v>
      </c>
      <c r="G116" s="37" t="n">
        <f aca="false">G59-F59</f>
        <v>3.00048085232876</v>
      </c>
      <c r="H116" s="37" t="n">
        <f aca="false">H59-G59</f>
        <v>1.05618305135343</v>
      </c>
      <c r="I116" s="37" t="n">
        <f aca="false">I59-H59</f>
        <v>1.98123281155803</v>
      </c>
      <c r="J116" s="37" t="n">
        <f aca="false">J59-I59</f>
        <v>1.16520224708611</v>
      </c>
      <c r="K116" s="37" t="n">
        <f aca="false">K59-J59</f>
        <v>1.20543942949367</v>
      </c>
      <c r="L116" s="37" t="n">
        <f aca="false">L59-K59</f>
        <v>1.24692531722465</v>
      </c>
      <c r="M116" s="37" t="n">
        <f aca="false">M59-L59</f>
        <v>1.28968928519747</v>
      </c>
    </row>
    <row r="117" customFormat="false" ht="15" hidden="false" customHeight="false" outlineLevel="0" collapsed="false">
      <c r="A117" s="26" t="s">
        <v>226</v>
      </c>
      <c r="B117" s="36" t="s">
        <v>55</v>
      </c>
      <c r="D117" s="37" t="n">
        <f aca="false">0</f>
        <v>0</v>
      </c>
      <c r="E117" s="37" t="n">
        <f aca="false">0</f>
        <v>0</v>
      </c>
      <c r="F117" s="37" t="n">
        <f aca="false">0</f>
        <v>0</v>
      </c>
      <c r="G117" s="37" t="n">
        <f aca="false">0</f>
        <v>0</v>
      </c>
      <c r="H117" s="37" t="n">
        <f aca="false">0</f>
        <v>0</v>
      </c>
      <c r="I117" s="37" t="n">
        <f aca="false">0</f>
        <v>0</v>
      </c>
      <c r="J117" s="37" t="n">
        <f aca="false">0</f>
        <v>0</v>
      </c>
      <c r="K117" s="37" t="n">
        <f aca="false">0</f>
        <v>0</v>
      </c>
      <c r="L117" s="37" t="n">
        <f aca="false">0</f>
        <v>0</v>
      </c>
      <c r="M117" s="37" t="n">
        <f aca="false">M54*Inputs!$C$52+M59</f>
        <v>211.68940001479</v>
      </c>
    </row>
    <row r="118" customFormat="false" ht="15" hidden="false" customHeight="false" outlineLevel="0" collapsed="false">
      <c r="A118" s="9" t="s">
        <v>227</v>
      </c>
      <c r="B118" s="36" t="s">
        <v>55</v>
      </c>
      <c r="C118" s="38" t="n">
        <f aca="false">-C14</f>
        <v>-753.95</v>
      </c>
      <c r="D118" s="38" t="n">
        <f aca="false">D47-D115-D116+D117</f>
        <v>72.7947933867123</v>
      </c>
      <c r="E118" s="38" t="n">
        <f aca="false">E47-E115-E116+E117</f>
        <v>108.977692012432</v>
      </c>
      <c r="F118" s="38" t="n">
        <f aca="false">F47-F115-F116+F117</f>
        <v>134.960272154433</v>
      </c>
      <c r="G118" s="38" t="n">
        <f aca="false">G47-G115-G116+G117</f>
        <v>153.048741597767</v>
      </c>
      <c r="H118" s="38" t="n">
        <f aca="false">H47-H115-H116+H117</f>
        <v>160.164499695494</v>
      </c>
      <c r="I118" s="38" t="n">
        <f aca="false">I47-I115-I116+I117</f>
        <v>168.543211084281</v>
      </c>
      <c r="J118" s="38" t="n">
        <f aca="false">J47-J115-J116+J117</f>
        <v>175.040411449459</v>
      </c>
      <c r="K118" s="38" t="n">
        <f aca="false">K47-K115-K116+K117</f>
        <v>180.85058810067</v>
      </c>
      <c r="L118" s="38" t="n">
        <f aca="false">L47-L115-L116+L117</f>
        <v>186.832245167459</v>
      </c>
      <c r="M118" s="38" t="n">
        <f aca="false">M47-M115-M116+M117</f>
        <v>404.678190475418</v>
      </c>
    </row>
    <row r="119" customFormat="false" ht="15" hidden="false" customHeight="false" outlineLevel="0" collapsed="false">
      <c r="A119" s="26" t="s">
        <v>228</v>
      </c>
      <c r="B119" s="36" t="s">
        <v>55</v>
      </c>
      <c r="C119" s="37" t="n">
        <f aca="false">C118</f>
        <v>-753.95</v>
      </c>
      <c r="D119" s="37" t="n">
        <f aca="false">C119+D118</f>
        <v>-681.155206613288</v>
      </c>
      <c r="E119" s="37" t="n">
        <f aca="false">D119+E118</f>
        <v>-572.177514600856</v>
      </c>
      <c r="F119" s="37" t="n">
        <f aca="false">E119+F118</f>
        <v>-437.217242446423</v>
      </c>
      <c r="G119" s="37" t="n">
        <f aca="false">F119+G118</f>
        <v>-284.168500848656</v>
      </c>
      <c r="H119" s="37" t="n">
        <f aca="false">G119+H118</f>
        <v>-124.004001153161</v>
      </c>
      <c r="I119" s="37" t="n">
        <f aca="false">H119+I118</f>
        <v>44.53920993112</v>
      </c>
      <c r="J119" s="37" t="n">
        <f aca="false">I119+J118</f>
        <v>219.579621380579</v>
      </c>
      <c r="K119" s="37" t="n">
        <f aca="false">J119+K118</f>
        <v>400.430209481248</v>
      </c>
      <c r="L119" s="37" t="n">
        <f aca="false">K119+L118</f>
        <v>587.262454648708</v>
      </c>
      <c r="M119" s="37" t="n">
        <f aca="false">L119+M118</f>
        <v>991.940645124125</v>
      </c>
    </row>
    <row r="120" customFormat="false" ht="15" hidden="false" customHeight="false" outlineLevel="0" collapsed="false">
      <c r="A120" s="26" t="s">
        <v>229</v>
      </c>
      <c r="B120" s="36" t="s">
        <v>55</v>
      </c>
      <c r="C120" s="37" t="n">
        <f aca="false">C118/(1+Inputs!$C$50)^Inputs!C$6</f>
        <v>-753.95</v>
      </c>
      <c r="D120" s="37" t="n">
        <f aca="false">D118/(1+Inputs!$C$50)^Inputs!D$6</f>
        <v>65.5808949429841</v>
      </c>
      <c r="E120" s="37" t="n">
        <f aca="false">E118/(1+Inputs!$C$50)^Inputs!E$6</f>
        <v>88.4487395604509</v>
      </c>
      <c r="F120" s="37" t="n">
        <f aca="false">F118/(1+Inputs!$C$50)^Inputs!F$6</f>
        <v>98.6817878173522</v>
      </c>
      <c r="G120" s="37" t="n">
        <f aca="false">G118/(1+Inputs!$C$50)^Inputs!G$6</f>
        <v>100.817946644364</v>
      </c>
      <c r="H120" s="37" t="n">
        <f aca="false">H118/(1+Inputs!$C$50)^Inputs!H$6</f>
        <v>95.0498350521258</v>
      </c>
      <c r="I120" s="37" t="n">
        <f aca="false">I118/(1+Inputs!$C$50)^Inputs!I$6</f>
        <v>90.1100832911899</v>
      </c>
      <c r="J120" s="37" t="n">
        <f aca="false">J118/(1+Inputs!$C$50)^Inputs!J$6</f>
        <v>84.3096864204185</v>
      </c>
      <c r="K120" s="37" t="n">
        <f aca="false">K118/(1+Inputs!$C$50)^Inputs!K$6</f>
        <v>78.4758620479602</v>
      </c>
      <c r="L120" s="37" t="n">
        <f aca="false">L118/(1+Inputs!$C$50)^Inputs!L$6</f>
        <v>73.0373527396472</v>
      </c>
      <c r="M120" s="37" t="n">
        <f aca="false">M118/(1+Inputs!$C$50)^Inputs!M$6</f>
        <v>142.521377583979</v>
      </c>
    </row>
    <row r="121" customFormat="false" ht="15" hidden="false" customHeight="false" outlineLevel="0" collapsed="false">
      <c r="A121" s="26" t="s">
        <v>230</v>
      </c>
      <c r="B121" s="36" t="s">
        <v>55</v>
      </c>
      <c r="C121" s="37" t="n">
        <f aca="false">C120</f>
        <v>-753.95</v>
      </c>
      <c r="D121" s="37" t="n">
        <f aca="false">C121+D120</f>
        <v>-688.369105057016</v>
      </c>
      <c r="E121" s="37" t="n">
        <f aca="false">D121+E120</f>
        <v>-599.920365496565</v>
      </c>
      <c r="F121" s="37" t="n">
        <f aca="false">E121+F120</f>
        <v>-501.238577679213</v>
      </c>
      <c r="G121" s="37" t="n">
        <f aca="false">F121+G120</f>
        <v>-400.420631034849</v>
      </c>
      <c r="H121" s="37" t="n">
        <f aca="false">G121+H120</f>
        <v>-305.370795982724</v>
      </c>
      <c r="I121" s="37" t="n">
        <f aca="false">H121+I120</f>
        <v>-215.260712691534</v>
      </c>
      <c r="J121" s="37" t="n">
        <f aca="false">I121+J120</f>
        <v>-130.951026271115</v>
      </c>
      <c r="K121" s="37" t="n">
        <f aca="false">J121+K120</f>
        <v>-52.475164223155</v>
      </c>
      <c r="L121" s="37" t="n">
        <f aca="false">K121+L120</f>
        <v>20.5621885164922</v>
      </c>
      <c r="M121" s="37" t="n">
        <f aca="false">L121+M120</f>
        <v>163.083566100472</v>
      </c>
    </row>
    <row r="122" customFormat="false" ht="15" hidden="false" customHeight="false" outlineLevel="0" collapsed="false">
      <c r="A122" s="26" t="s">
        <v>231</v>
      </c>
      <c r="B122" s="36" t="s">
        <v>69</v>
      </c>
      <c r="D122" s="45" t="str">
        <f aca="false">IF(AND(C119&lt;0,D119&gt;=0),Inputs!D$6-1+(-C119)/D118,"")</f>
        <v/>
      </c>
      <c r="E122" s="45" t="str">
        <f aca="false">IF(AND(D119&lt;0,E119&gt;=0),Inputs!E$6-1+(-D119)/E118,"")</f>
        <v/>
      </c>
      <c r="F122" s="45" t="str">
        <f aca="false">IF(AND(E119&lt;0,F119&gt;=0),Inputs!F$6-1+(-E119)/F118,"")</f>
        <v/>
      </c>
      <c r="G122" s="45" t="str">
        <f aca="false">IF(AND(F119&lt;0,G119&gt;=0),Inputs!G$6-1+(-F119)/G118,"")</f>
        <v/>
      </c>
      <c r="H122" s="45" t="str">
        <f aca="false">IF(AND(G119&lt;0,H119&gt;=0),Inputs!H$6-1+(-G119)/H118,"")</f>
        <v/>
      </c>
      <c r="I122" s="45" t="n">
        <f aca="false">IF(AND(H119&lt;0,I119&gt;=0),Inputs!I$6-1+(-H119)/I118,"")</f>
        <v>5.7357401129088</v>
      </c>
      <c r="J122" s="45" t="str">
        <f aca="false">IF(AND(I119&lt;0,J119&gt;=0),Inputs!J$6-1+(-I119)/J118,"")</f>
        <v/>
      </c>
      <c r="K122" s="45" t="str">
        <f aca="false">IF(AND(J119&lt;0,K119&gt;=0),Inputs!K$6-1+(-J119)/K118,"")</f>
        <v/>
      </c>
      <c r="L122" s="45" t="str">
        <f aca="false">IF(AND(K119&lt;0,L119&gt;=0),Inputs!L$6-1+(-K119)/L118,"")</f>
        <v/>
      </c>
      <c r="M122" s="45" t="str">
        <f aca="false">IF(AND(L119&lt;0,M119&gt;=0),Inputs!M$6-1+(-L119)/M118,"")</f>
        <v/>
      </c>
    </row>
    <row r="123" customFormat="false" ht="15" hidden="false" customHeight="false" outlineLevel="0" collapsed="false">
      <c r="A123" s="26" t="s">
        <v>232</v>
      </c>
      <c r="B123" s="36" t="s">
        <v>69</v>
      </c>
      <c r="D123" s="45" t="str">
        <f aca="false">IF(AND(C121&lt;0,D121&gt;=0),Inputs!D$6-1+(-C121)/D120,"")</f>
        <v/>
      </c>
      <c r="E123" s="45" t="str">
        <f aca="false">IF(AND(D121&lt;0,E121&gt;=0),Inputs!E$6-1+(-D121)/E120,"")</f>
        <v/>
      </c>
      <c r="F123" s="45" t="str">
        <f aca="false">IF(AND(E121&lt;0,F121&gt;=0),Inputs!F$6-1+(-E121)/F120,"")</f>
        <v/>
      </c>
      <c r="G123" s="45" t="str">
        <f aca="false">IF(AND(F121&lt;0,G121&gt;=0),Inputs!G$6-1+(-F121)/G120,"")</f>
        <v/>
      </c>
      <c r="H123" s="45" t="str">
        <f aca="false">IF(AND(G121&lt;0,H121&gt;=0),Inputs!H$6-1+(-G121)/H120,"")</f>
        <v/>
      </c>
      <c r="I123" s="45" t="str">
        <f aca="false">IF(AND(H121&lt;0,I121&gt;=0),Inputs!I$6-1+(-H121)/I120,"")</f>
        <v/>
      </c>
      <c r="J123" s="45" t="str">
        <f aca="false">IF(AND(I121&lt;0,J121&gt;=0),Inputs!J$6-1+(-I121)/J120,"")</f>
        <v/>
      </c>
      <c r="K123" s="45" t="str">
        <f aca="false">IF(AND(J121&lt;0,K121&gt;=0),Inputs!K$6-1+(-J121)/K120,"")</f>
        <v/>
      </c>
      <c r="L123" s="45" t="n">
        <f aca="false">IF(AND(K121&lt;0,L121&gt;=0),Inputs!L$6-1+(-K121)/L120,"")</f>
        <v>8.71847023823838</v>
      </c>
      <c r="M123" s="45" t="str">
        <f aca="false">IF(AND(L121&lt;0,M121&gt;=0),Inputs!M$6-1+(-L121)/M120,"")</f>
        <v/>
      </c>
    </row>
    <row r="124" customFormat="false" ht="15" hidden="false" customHeight="false" outlineLevel="0" collapsed="false">
      <c r="A124" s="9" t="s">
        <v>233</v>
      </c>
      <c r="B124" s="36" t="s">
        <v>55</v>
      </c>
      <c r="C124" s="43" t="n">
        <f aca="false">NPV(Inputs!$C$50,D118:M118)+C118</f>
        <v>163.083566100472</v>
      </c>
    </row>
    <row r="125" customFormat="false" ht="15" hidden="false" customHeight="false" outlineLevel="0" collapsed="false">
      <c r="A125" s="9" t="s">
        <v>23</v>
      </c>
      <c r="B125" s="36" t="s">
        <v>62</v>
      </c>
      <c r="C125" s="46" t="n">
        <f aca="false">IRR(C118:M118)</f>
        <v>0.14959511384565</v>
      </c>
    </row>
    <row r="126" customFormat="false" ht="15" hidden="false" customHeight="false" outlineLevel="0" collapsed="false">
      <c r="A126" s="9" t="s">
        <v>234</v>
      </c>
      <c r="B126" s="36" t="s">
        <v>104</v>
      </c>
      <c r="C126" s="44" t="n">
        <f aca="false">SUMIF(C120:M120,"&gt;0")/-SUMIF(C120:M120,"&lt;0")</f>
        <v>1.21630554559383</v>
      </c>
    </row>
    <row r="127" customFormat="false" ht="15" hidden="false" customHeight="false" outlineLevel="0" collapsed="false">
      <c r="A127" s="9" t="s">
        <v>235</v>
      </c>
      <c r="B127" s="36" t="s">
        <v>69</v>
      </c>
      <c r="C127" s="47" t="n">
        <f aca="false">IF(COUNT(D122:M122)=0,"Beyond Year 10",MIN(D122:M122))</f>
        <v>5.7357401129088</v>
      </c>
    </row>
    <row r="128" customFormat="false" ht="15" hidden="false" customHeight="false" outlineLevel="0" collapsed="false">
      <c r="A128" s="9" t="s">
        <v>35</v>
      </c>
      <c r="B128" s="36" t="s">
        <v>69</v>
      </c>
      <c r="C128" s="47" t="n">
        <f aca="false">IF(COUNT(D123:M123)=0,"Beyond Year 10",MIN(D123:M123))</f>
        <v>8.71847023823838</v>
      </c>
    </row>
    <row r="130" customFormat="false" ht="15" hidden="false" customHeight="false" outlineLevel="0" collapsed="false">
      <c r="A130" s="24" t="s">
        <v>236</v>
      </c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</row>
    <row r="131" customFormat="false" ht="15" hidden="false" customHeight="false" outlineLevel="0" collapsed="false">
      <c r="A131" s="9" t="s">
        <v>237</v>
      </c>
      <c r="B131" s="36" t="s">
        <v>55</v>
      </c>
      <c r="C131" s="43" t="n">
        <f aca="false">-C20</f>
        <v>-308.78</v>
      </c>
      <c r="D131" s="43" t="n">
        <f aca="false">D86-D65</f>
        <v>36.4028317317123</v>
      </c>
      <c r="E131" s="43" t="n">
        <f aca="false">E86-E65</f>
        <v>72.5857303574315</v>
      </c>
      <c r="F131" s="43" t="n">
        <f aca="false">F86-F65</f>
        <v>32.4011676422904</v>
      </c>
      <c r="G131" s="43" t="n">
        <f aca="false">G86-G65</f>
        <v>55.6884887506244</v>
      </c>
      <c r="H131" s="43" t="n">
        <f aca="false">H86-H65</f>
        <v>68.0030985133516</v>
      </c>
      <c r="I131" s="43" t="n">
        <f aca="false">I86-I65</f>
        <v>81.5806615671386</v>
      </c>
      <c r="J131" s="43" t="n">
        <f aca="false">J86-J65</f>
        <v>93.2767135973157</v>
      </c>
      <c r="K131" s="43" t="n">
        <f aca="false">K86-K65</f>
        <v>104.285741913527</v>
      </c>
      <c r="L131" s="43" t="n">
        <f aca="false">L86-L65</f>
        <v>115.466250645316</v>
      </c>
      <c r="M131" s="43" t="n">
        <f aca="false">M86-M65+C15+M54*Inputs!$C$52+M59</f>
        <v>422.678190475418</v>
      </c>
    </row>
    <row r="132" customFormat="false" ht="15" hidden="false" customHeight="false" outlineLevel="0" collapsed="false">
      <c r="A132" s="9" t="s">
        <v>238</v>
      </c>
      <c r="B132" s="36" t="s">
        <v>55</v>
      </c>
      <c r="C132" s="43" t="n">
        <f aca="false">NPV(Inputs!$C$51,D131:M131)+C131</f>
        <v>129.689104301473</v>
      </c>
    </row>
    <row r="133" customFormat="false" ht="15" hidden="false" customHeight="false" outlineLevel="0" collapsed="false">
      <c r="A133" s="9" t="s">
        <v>27</v>
      </c>
      <c r="B133" s="36" t="s">
        <v>62</v>
      </c>
      <c r="C133" s="46" t="n">
        <f aca="false">IRR(C131:M131)</f>
        <v>0.208768318462049</v>
      </c>
    </row>
    <row r="135" customFormat="false" ht="15" hidden="false" customHeight="false" outlineLevel="0" collapsed="false">
      <c r="A135" s="24" t="s">
        <v>239</v>
      </c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</row>
    <row r="136" customFormat="false" ht="15" hidden="false" customHeight="false" outlineLevel="0" collapsed="false">
      <c r="A136" s="26" t="s">
        <v>240</v>
      </c>
      <c r="B136" s="36" t="s">
        <v>55</v>
      </c>
      <c r="D136" s="37" t="n">
        <f aca="false">D34-D45</f>
        <v>154.6325</v>
      </c>
      <c r="E136" s="37" t="n">
        <f aca="false">E34-E45</f>
        <v>189.804225</v>
      </c>
      <c r="F136" s="37" t="n">
        <f aca="false">F34-F45</f>
        <v>227.45833875</v>
      </c>
      <c r="G136" s="37" t="n">
        <f aca="false">G34-G45</f>
        <v>251.98357812</v>
      </c>
      <c r="H136" s="37" t="n">
        <f aca="false">H34-H45</f>
        <v>261.7022052948</v>
      </c>
      <c r="I136" s="37" t="n">
        <f aca="false">I34-I45</f>
        <v>278.586330303069</v>
      </c>
      <c r="J136" s="37" t="n">
        <f aca="false">J34-J45</f>
        <v>289.322151946945</v>
      </c>
      <c r="K136" s="37" t="n">
        <f aca="false">K34-K45</f>
        <v>300.467024878164</v>
      </c>
      <c r="L136" s="37" t="n">
        <f aca="false">L34-L45</f>
        <v>312.036292069298</v>
      </c>
      <c r="M136" s="37" t="n">
        <f aca="false">M34-M45</f>
        <v>324.045859257878</v>
      </c>
    </row>
    <row r="137" customFormat="false" ht="15" hidden="false" customHeight="false" outlineLevel="0" collapsed="false">
      <c r="A137" s="26" t="s">
        <v>241</v>
      </c>
      <c r="B137" s="36" t="s">
        <v>62</v>
      </c>
      <c r="D137" s="40" t="n">
        <f aca="false">D29*(D46+D53+D64)/D136</f>
        <v>0.502634358883159</v>
      </c>
      <c r="E137" s="40" t="n">
        <f aca="false">E29*(E46+E53+E64)/E136</f>
        <v>0.492063190374187</v>
      </c>
      <c r="F137" s="40" t="n">
        <f aca="false">F29*(F46+F53+F64)/F136</f>
        <v>0.482044373939225</v>
      </c>
      <c r="G137" s="40" t="n">
        <f aca="false">G29*(G46+G53+G64)/G136</f>
        <v>0.450503125826476</v>
      </c>
      <c r="H137" s="40" t="n">
        <f aca="false">H29*(H46+H53+H64)/H136</f>
        <v>0.42111794607101</v>
      </c>
      <c r="I137" s="40" t="n">
        <f aca="false">I29*(I46+I53+I64)/I136</f>
        <v>0.380829371534692</v>
      </c>
      <c r="J137" s="40" t="n">
        <f aca="false">J29*(J46+J53+J64)/J136</f>
        <v>0.355917152006712</v>
      </c>
      <c r="K137" s="40" t="n">
        <f aca="false">K29*(K46+K53+K64)/K136</f>
        <v>0.332833651731625</v>
      </c>
      <c r="L137" s="40" t="n">
        <f aca="false">L29*(L46+L53+L64)/L136</f>
        <v>0.311486465264326</v>
      </c>
      <c r="M137" s="40" t="n">
        <f aca="false">M29*(M46+M53+M64)/M136</f>
        <v>0.291787793044769</v>
      </c>
    </row>
    <row r="138" customFormat="false" ht="15" hidden="false" customHeight="false" outlineLevel="0" collapsed="false">
      <c r="A138" s="26" t="s">
        <v>242</v>
      </c>
      <c r="B138" s="36" t="s">
        <v>62</v>
      </c>
      <c r="D138" s="40" t="n">
        <f aca="false">D29*(D46+D64+D65)/D136</f>
        <v>0.351540636670816</v>
      </c>
      <c r="E138" s="40" t="n">
        <f aca="false">E29*(E46+E64+E65)/E136</f>
        <v>0.346586976659766</v>
      </c>
      <c r="F138" s="40" t="n">
        <f aca="false">F29*(F46+F64+F65)/F136</f>
        <v>0.560148158748729</v>
      </c>
      <c r="G138" s="40" t="n">
        <f aca="false">G29*(G46+G64+G65)/G136</f>
        <v>0.525705305377598</v>
      </c>
      <c r="H138" s="40" t="n">
        <f aca="false">H29*(H46+H64+H65)/H136</f>
        <v>0.493527401942305</v>
      </c>
      <c r="I138" s="40" t="n">
        <f aca="false">I29*(I46+I64+I65)/I136</f>
        <v>0.463501974737447</v>
      </c>
      <c r="J138" s="40" t="n">
        <f aca="false">J29*(J46+J64+J65)/J136</f>
        <v>0.435522038766577</v>
      </c>
      <c r="K138" s="40" t="n">
        <f aca="false">K29*(K46+K64+K65)/K136</f>
        <v>0.40948584726688</v>
      </c>
      <c r="L138" s="40" t="n">
        <f aca="false">L29*(L46+L64+L65)/L136</f>
        <v>0.385296652502874</v>
      </c>
      <c r="M138" s="40" t="n">
        <f aca="false">M29*(M46+M64+M65)/M136</f>
        <v>0.195426123522091</v>
      </c>
    </row>
    <row r="139" customFormat="false" ht="15" hidden="false" customHeight="false" outlineLevel="0" collapsed="false">
      <c r="A139" s="9" t="s">
        <v>243</v>
      </c>
      <c r="B139" s="36" t="s">
        <v>62</v>
      </c>
      <c r="C139" s="46" t="n">
        <f aca="false">INDEX(D137:M137,Inputs!$C$54)</f>
        <v>0.450503125826476</v>
      </c>
    </row>
    <row r="140" customFormat="false" ht="15" hidden="false" customHeight="false" outlineLevel="0" collapsed="false">
      <c r="A140" s="9" t="s">
        <v>244</v>
      </c>
      <c r="B140" s="36" t="s">
        <v>62</v>
      </c>
      <c r="C140" s="46" t="n">
        <f aca="false">INDEX(D138:M138,Inputs!$C$54)</f>
        <v>0.525705305377598</v>
      </c>
    </row>
    <row r="143" customFormat="false" ht="15" hidden="false" customHeight="false" outlineLevel="0" collapsed="false">
      <c r="A143" s="24" t="s">
        <v>272</v>
      </c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</row>
    <row r="144" customFormat="false" ht="15" hidden="false" customHeight="false" outlineLevel="0" collapsed="false">
      <c r="A144" s="26" t="s">
        <v>54</v>
      </c>
      <c r="B144" s="36" t="s">
        <v>55</v>
      </c>
      <c r="C144" s="37" t="n">
        <f aca="false">Inputs!$C$10*(1+Inputs!$F$61)</f>
        <v>40</v>
      </c>
    </row>
    <row r="145" customFormat="false" ht="15" hidden="false" customHeight="false" outlineLevel="0" collapsed="false">
      <c r="A145" s="26" t="s">
        <v>56</v>
      </c>
      <c r="B145" s="36" t="s">
        <v>55</v>
      </c>
      <c r="C145" s="37" t="n">
        <f aca="false">Inputs!$C$11*(1+Inputs!$F$61)</f>
        <v>230</v>
      </c>
    </row>
    <row r="146" customFormat="false" ht="15" hidden="false" customHeight="false" outlineLevel="0" collapsed="false">
      <c r="A146" s="26" t="s">
        <v>57</v>
      </c>
      <c r="B146" s="36" t="s">
        <v>55</v>
      </c>
      <c r="C146" s="37" t="n">
        <f aca="false">Inputs!$C$12*(1+Inputs!$F$61)</f>
        <v>250</v>
      </c>
    </row>
    <row r="147" customFormat="false" ht="15" hidden="false" customHeight="false" outlineLevel="0" collapsed="false">
      <c r="A147" s="26" t="s">
        <v>58</v>
      </c>
      <c r="B147" s="36" t="s">
        <v>55</v>
      </c>
      <c r="C147" s="37" t="n">
        <f aca="false">Inputs!$C$13*(1+Inputs!$F$61)</f>
        <v>95</v>
      </c>
    </row>
    <row r="148" customFormat="false" ht="15" hidden="false" customHeight="false" outlineLevel="0" collapsed="false">
      <c r="A148" s="26" t="s">
        <v>59</v>
      </c>
      <c r="B148" s="36" t="s">
        <v>55</v>
      </c>
      <c r="C148" s="37" t="n">
        <f aca="false">Inputs!$C$14*(1+Inputs!$F$61)</f>
        <v>48</v>
      </c>
    </row>
    <row r="149" customFormat="false" ht="15" hidden="false" customHeight="false" outlineLevel="0" collapsed="false">
      <c r="A149" s="26" t="s">
        <v>60</v>
      </c>
      <c r="B149" s="36" t="s">
        <v>55</v>
      </c>
      <c r="C149" s="37" t="n">
        <f aca="false">Inputs!$C$15*(1+Inputs!$F$61)</f>
        <v>36</v>
      </c>
    </row>
    <row r="150" customFormat="false" ht="15" hidden="false" customHeight="false" outlineLevel="0" collapsed="false">
      <c r="A150" s="9" t="s">
        <v>137</v>
      </c>
      <c r="B150" s="36" t="s">
        <v>55</v>
      </c>
      <c r="C150" s="38" t="n">
        <f aca="false">SUM(C145:C149)</f>
        <v>659</v>
      </c>
    </row>
    <row r="151" customFormat="false" ht="15" hidden="false" customHeight="false" outlineLevel="0" collapsed="false">
      <c r="A151" s="26" t="s">
        <v>138</v>
      </c>
      <c r="B151" s="36" t="s">
        <v>55</v>
      </c>
      <c r="C151" s="37" t="n">
        <f aca="false">C150*Inputs!$C$16</f>
        <v>32.95</v>
      </c>
    </row>
    <row r="152" customFormat="false" ht="15" hidden="false" customHeight="false" outlineLevel="0" collapsed="false">
      <c r="A152" s="26" t="s">
        <v>63</v>
      </c>
      <c r="B152" s="36" t="s">
        <v>55</v>
      </c>
      <c r="C152" s="37" t="n">
        <f aca="false">Inputs!$C$17*(1+Inputs!$F$61)</f>
        <v>22</v>
      </c>
    </row>
    <row r="153" customFormat="false" ht="15" hidden="false" customHeight="false" outlineLevel="0" collapsed="false">
      <c r="A153" s="9" t="s">
        <v>139</v>
      </c>
      <c r="B153" s="36" t="s">
        <v>55</v>
      </c>
      <c r="C153" s="38" t="n">
        <f aca="false">C144+C150+C151+C152</f>
        <v>753.95</v>
      </c>
    </row>
    <row r="154" customFormat="false" ht="15" hidden="false" customHeight="false" outlineLevel="0" collapsed="false">
      <c r="A154" s="26" t="s">
        <v>64</v>
      </c>
      <c r="B154" s="36" t="s">
        <v>55</v>
      </c>
      <c r="C154" s="37" t="n">
        <f aca="false">Inputs!$C$18</f>
        <v>18</v>
      </c>
    </row>
    <row r="155" customFormat="false" ht="15" hidden="false" customHeight="false" outlineLevel="0" collapsed="false">
      <c r="A155" s="9" t="s">
        <v>15</v>
      </c>
      <c r="B155" s="36" t="s">
        <v>55</v>
      </c>
      <c r="C155" s="38" t="n">
        <f aca="false">C153+C154</f>
        <v>771.95</v>
      </c>
    </row>
    <row r="157" customFormat="false" ht="15" hidden="false" customHeight="false" outlineLevel="0" collapsed="false">
      <c r="A157" s="24" t="s">
        <v>65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</row>
    <row r="158" customFormat="false" ht="15" hidden="false" customHeight="false" outlineLevel="0" collapsed="false">
      <c r="A158" s="26" t="s">
        <v>17</v>
      </c>
      <c r="B158" s="36" t="s">
        <v>55</v>
      </c>
      <c r="C158" s="37" t="n">
        <f aca="false">C155*Inputs!$C$20</f>
        <v>463.17</v>
      </c>
    </row>
    <row r="159" customFormat="false" ht="15" hidden="false" customHeight="false" outlineLevel="0" collapsed="false">
      <c r="A159" s="26" t="s">
        <v>19</v>
      </c>
      <c r="B159" s="36" t="s">
        <v>55</v>
      </c>
      <c r="C159" s="37" t="n">
        <f aca="false">C155-C158</f>
        <v>308.78</v>
      </c>
    </row>
    <row r="160" customFormat="false" ht="15" hidden="false" customHeight="false" outlineLevel="0" collapsed="false">
      <c r="A160" s="9" t="s">
        <v>140</v>
      </c>
      <c r="B160" s="36" t="s">
        <v>55</v>
      </c>
      <c r="C160" s="38" t="n">
        <f aca="false">C158+C159</f>
        <v>771.95</v>
      </c>
    </row>
    <row r="161" customFormat="false" ht="15" hidden="false" customHeight="false" outlineLevel="0" collapsed="false">
      <c r="A161" s="26" t="s">
        <v>21</v>
      </c>
      <c r="B161" s="36" t="s">
        <v>104</v>
      </c>
      <c r="C161" s="39" t="n">
        <f aca="false">C158/C159</f>
        <v>1.5</v>
      </c>
    </row>
    <row r="163" customFormat="false" ht="15" hidden="false" customHeight="false" outlineLevel="0" collapsed="false">
      <c r="A163" s="24" t="s">
        <v>141</v>
      </c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</row>
    <row r="164" customFormat="false" ht="15" hidden="false" customHeight="false" outlineLevel="0" collapsed="false">
      <c r="A164" s="26" t="s">
        <v>142</v>
      </c>
      <c r="B164" s="36" t="s">
        <v>55</v>
      </c>
      <c r="C164" s="37" t="n">
        <f aca="false">C145*(1+Inputs!$C$16)</f>
        <v>241.5</v>
      </c>
    </row>
    <row r="165" customFormat="false" ht="15" hidden="false" customHeight="false" outlineLevel="0" collapsed="false">
      <c r="A165" s="26" t="s">
        <v>143</v>
      </c>
      <c r="B165" s="36" t="s">
        <v>55</v>
      </c>
      <c r="C165" s="37" t="n">
        <f aca="false">C146+C147+C148+C149</f>
        <v>429</v>
      </c>
    </row>
    <row r="166" customFormat="false" ht="15" hidden="false" customHeight="false" outlineLevel="0" collapsed="false">
      <c r="A166" s="26" t="s">
        <v>144</v>
      </c>
      <c r="B166" s="36" t="s">
        <v>55</v>
      </c>
      <c r="C166" s="37" t="n">
        <f aca="false">C165*(1+Inputs!$C$16)</f>
        <v>450.45</v>
      </c>
    </row>
    <row r="167" customFormat="false" ht="15" hidden="false" customHeight="false" outlineLevel="0" collapsed="false">
      <c r="A167" s="24" t="s">
        <v>273</v>
      </c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</row>
    <row r="168" customFormat="false" ht="15" hidden="false" customHeight="false" outlineLevel="0" collapsed="false">
      <c r="A168" s="26" t="s">
        <v>147</v>
      </c>
      <c r="B168" s="36" t="s">
        <v>62</v>
      </c>
      <c r="D168" s="40" t="n">
        <f aca="false">MAX(0,MIN(1,Inputs!D$56+Inputs!$D$61))</f>
        <v>0.55</v>
      </c>
      <c r="E168" s="40" t="n">
        <f aca="false">MAX(0,MIN(1,Inputs!E$56+Inputs!$D$61))</f>
        <v>0.65</v>
      </c>
      <c r="F168" s="40" t="n">
        <f aca="false">MAX(0,MIN(1,Inputs!F$56+Inputs!$D$61))</f>
        <v>0.75</v>
      </c>
      <c r="G168" s="40" t="n">
        <f aca="false">MAX(0,MIN(1,Inputs!G$56+Inputs!$D$61))</f>
        <v>0.8</v>
      </c>
      <c r="H168" s="40" t="n">
        <f aca="false">MAX(0,MIN(1,Inputs!H$56+Inputs!$D$61))</f>
        <v>0.8</v>
      </c>
      <c r="I168" s="40" t="n">
        <f aca="false">MAX(0,MIN(1,Inputs!I$56+Inputs!$D$61))</f>
        <v>0.82</v>
      </c>
      <c r="J168" s="40" t="n">
        <f aca="false">MAX(0,MIN(1,Inputs!J$56+Inputs!$D$61))</f>
        <v>0.82</v>
      </c>
      <c r="K168" s="40" t="n">
        <f aca="false">MAX(0,MIN(1,Inputs!K$56+Inputs!$D$61))</f>
        <v>0.82</v>
      </c>
      <c r="L168" s="40" t="n">
        <f aca="false">MAX(0,MIN(1,Inputs!L$56+Inputs!$D$61))</f>
        <v>0.82</v>
      </c>
      <c r="M168" s="40" t="n">
        <f aca="false">MAX(0,MIN(1,Inputs!M$56+Inputs!$D$61))</f>
        <v>0.82</v>
      </c>
    </row>
    <row r="169" customFormat="false" ht="15" hidden="false" customHeight="false" outlineLevel="0" collapsed="false">
      <c r="A169" s="26" t="s">
        <v>148</v>
      </c>
      <c r="B169" s="36" t="s">
        <v>72</v>
      </c>
      <c r="D169" s="41" t="n">
        <f aca="false">Inputs!$C$25*D168</f>
        <v>2750</v>
      </c>
      <c r="E169" s="41" t="n">
        <f aca="false">Inputs!$C$25*E168</f>
        <v>3250</v>
      </c>
      <c r="F169" s="41" t="n">
        <f aca="false">Inputs!$C$25*F168</f>
        <v>3750</v>
      </c>
      <c r="G169" s="41" t="n">
        <f aca="false">Inputs!$C$25*G168</f>
        <v>4000</v>
      </c>
      <c r="H169" s="41" t="n">
        <f aca="false">Inputs!$C$25*H168</f>
        <v>4000</v>
      </c>
      <c r="I169" s="41" t="n">
        <f aca="false">Inputs!$C$25*I168</f>
        <v>4100</v>
      </c>
      <c r="J169" s="41" t="n">
        <f aca="false">Inputs!$C$25*J168</f>
        <v>4100</v>
      </c>
      <c r="K169" s="41" t="n">
        <f aca="false">Inputs!$C$25*K168</f>
        <v>4100</v>
      </c>
      <c r="L169" s="41" t="n">
        <f aca="false">Inputs!$C$25*L168</f>
        <v>4100</v>
      </c>
      <c r="M169" s="41" t="n">
        <f aca="false">Inputs!$C$25*M168</f>
        <v>4100</v>
      </c>
    </row>
    <row r="170" customFormat="false" ht="15" hidden="false" customHeight="false" outlineLevel="0" collapsed="false">
      <c r="A170" s="26" t="s">
        <v>149</v>
      </c>
      <c r="B170" s="36" t="s">
        <v>74</v>
      </c>
      <c r="D170" s="42" t="n">
        <f aca="false">Inputs!$C$26*(1+Inputs!$C$27)^(Inputs!D$6-1)*(1+Inputs!$C$61)</f>
        <v>5400</v>
      </c>
      <c r="E170" s="42" t="n">
        <f aca="false">Inputs!$C$26*(1+Inputs!$C$27)^(Inputs!E$6-1)*(1+Inputs!$C$61)</f>
        <v>5616</v>
      </c>
      <c r="F170" s="42" t="n">
        <f aca="false">Inputs!$C$26*(1+Inputs!$C$27)^(Inputs!F$6-1)*(1+Inputs!$C$61)</f>
        <v>5840.64</v>
      </c>
      <c r="G170" s="42" t="n">
        <f aca="false">Inputs!$C$26*(1+Inputs!$C$27)^(Inputs!G$6-1)*(1+Inputs!$C$61)</f>
        <v>6074.2656</v>
      </c>
      <c r="H170" s="42" t="n">
        <f aca="false">Inputs!$C$26*(1+Inputs!$C$27)^(Inputs!H$6-1)*(1+Inputs!$C$61)</f>
        <v>6317.236224</v>
      </c>
      <c r="I170" s="42" t="n">
        <f aca="false">Inputs!$C$26*(1+Inputs!$C$27)^(Inputs!I$6-1)*(1+Inputs!$C$61)</f>
        <v>6569.92567296</v>
      </c>
      <c r="J170" s="42" t="n">
        <f aca="false">Inputs!$C$26*(1+Inputs!$C$27)^(Inputs!J$6-1)*(1+Inputs!$C$61)</f>
        <v>6832.7226998784</v>
      </c>
      <c r="K170" s="42" t="n">
        <f aca="false">Inputs!$C$26*(1+Inputs!$C$27)^(Inputs!K$6-1)*(1+Inputs!$C$61)</f>
        <v>7106.03160787354</v>
      </c>
      <c r="L170" s="42" t="n">
        <f aca="false">Inputs!$C$26*(1+Inputs!$C$27)^(Inputs!L$6-1)*(1+Inputs!$C$61)</f>
        <v>7390.27287218848</v>
      </c>
      <c r="M170" s="42" t="n">
        <f aca="false">Inputs!$C$26*(1+Inputs!$C$27)^(Inputs!M$6-1)*(1+Inputs!$C$61)</f>
        <v>7685.88378707602</v>
      </c>
    </row>
    <row r="171" customFormat="false" ht="15" hidden="false" customHeight="false" outlineLevel="0" collapsed="false">
      <c r="A171" s="26" t="s">
        <v>150</v>
      </c>
      <c r="B171" s="36" t="s">
        <v>55</v>
      </c>
      <c r="D171" s="37" t="n">
        <f aca="false">D169*D170/Inputs!$C$48</f>
        <v>148.5</v>
      </c>
      <c r="E171" s="37" t="n">
        <f aca="false">E169*E170/Inputs!$C$48</f>
        <v>182.52</v>
      </c>
      <c r="F171" s="37" t="n">
        <f aca="false">F169*F170/Inputs!$C$48</f>
        <v>219.024</v>
      </c>
      <c r="G171" s="37" t="n">
        <f aca="false">G169*G170/Inputs!$C$48</f>
        <v>242.970624</v>
      </c>
      <c r="H171" s="37" t="n">
        <f aca="false">H169*H170/Inputs!$C$48</f>
        <v>252.68944896</v>
      </c>
      <c r="I171" s="37" t="n">
        <f aca="false">I169*I170/Inputs!$C$48</f>
        <v>269.36695259136</v>
      </c>
      <c r="J171" s="37" t="n">
        <f aca="false">J169*J170/Inputs!$C$48</f>
        <v>280.141630695015</v>
      </c>
      <c r="K171" s="37" t="n">
        <f aca="false">K169*K170/Inputs!$C$48</f>
        <v>291.347295922815</v>
      </c>
      <c r="L171" s="37" t="n">
        <f aca="false">L169*L170/Inputs!$C$48</f>
        <v>303.001187759728</v>
      </c>
      <c r="M171" s="37" t="n">
        <f aca="false">M169*M170/Inputs!$C$48</f>
        <v>315.121235270117</v>
      </c>
    </row>
    <row r="172" customFormat="false" ht="15" hidden="false" customHeight="false" outlineLevel="0" collapsed="false">
      <c r="A172" s="26" t="s">
        <v>151</v>
      </c>
      <c r="B172" s="36" t="s">
        <v>55</v>
      </c>
      <c r="D172" s="37" t="n">
        <f aca="false">D171*Inputs!$C$28</f>
        <v>14.85</v>
      </c>
      <c r="E172" s="37" t="n">
        <f aca="false">E171*Inputs!$C$28</f>
        <v>18.252</v>
      </c>
      <c r="F172" s="37" t="n">
        <f aca="false">F171*Inputs!$C$28</f>
        <v>21.9024</v>
      </c>
      <c r="G172" s="37" t="n">
        <f aca="false">G171*Inputs!$C$28</f>
        <v>24.2970624</v>
      </c>
      <c r="H172" s="37" t="n">
        <f aca="false">H171*Inputs!$C$28</f>
        <v>25.268944896</v>
      </c>
      <c r="I172" s="37" t="n">
        <f aca="false">I171*Inputs!$C$28</f>
        <v>26.936695259136</v>
      </c>
      <c r="J172" s="37" t="n">
        <f aca="false">J171*Inputs!$C$28</f>
        <v>28.0141630695015</v>
      </c>
      <c r="K172" s="37" t="n">
        <f aca="false">K171*Inputs!$C$28</f>
        <v>29.1347295922815</v>
      </c>
      <c r="L172" s="37" t="n">
        <f aca="false">L171*Inputs!$C$28</f>
        <v>30.3001187759728</v>
      </c>
      <c r="M172" s="37" t="n">
        <f aca="false">M171*Inputs!$C$28</f>
        <v>31.5121235270117</v>
      </c>
    </row>
    <row r="173" customFormat="false" ht="15" hidden="false" customHeight="false" outlineLevel="0" collapsed="false">
      <c r="A173" s="9" t="s">
        <v>152</v>
      </c>
      <c r="B173" s="36" t="s">
        <v>55</v>
      </c>
      <c r="D173" s="38" t="n">
        <f aca="false">D171+D172</f>
        <v>163.35</v>
      </c>
      <c r="E173" s="38" t="n">
        <f aca="false">E171+E172</f>
        <v>200.772</v>
      </c>
      <c r="F173" s="38" t="n">
        <f aca="false">F171+F172</f>
        <v>240.9264</v>
      </c>
      <c r="G173" s="38" t="n">
        <f aca="false">G171+G172</f>
        <v>267.2676864</v>
      </c>
      <c r="H173" s="38" t="n">
        <f aca="false">H171+H172</f>
        <v>277.958393856</v>
      </c>
      <c r="I173" s="38" t="n">
        <f aca="false">I171+I172</f>
        <v>296.303647850496</v>
      </c>
      <c r="J173" s="38" t="n">
        <f aca="false">J171+J172</f>
        <v>308.155793764516</v>
      </c>
      <c r="K173" s="38" t="n">
        <f aca="false">K171+K172</f>
        <v>320.482025515097</v>
      </c>
      <c r="L173" s="38" t="n">
        <f aca="false">L171+L172</f>
        <v>333.3013065357</v>
      </c>
      <c r="M173" s="38" t="n">
        <f aca="false">M171+M172</f>
        <v>346.633358797128</v>
      </c>
    </row>
    <row r="175" customFormat="false" ht="15" hidden="false" customHeight="false" outlineLevel="0" collapsed="false">
      <c r="A175" s="24" t="s">
        <v>153</v>
      </c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</row>
    <row r="176" customFormat="false" ht="15" hidden="false" customHeight="false" outlineLevel="0" collapsed="false">
      <c r="A176" s="26" t="s">
        <v>154</v>
      </c>
      <c r="B176" s="36" t="s">
        <v>55</v>
      </c>
      <c r="D176" s="37" t="n">
        <f aca="false">D169*Inputs!$C$30*(1+Inputs!$C$31)^(Inputs!D$6-1)/Inputs!$C$48*(1+Inputs!$E$61)</f>
        <v>26.125</v>
      </c>
      <c r="E176" s="37" t="n">
        <f aca="false">E169*Inputs!$C$30*(1+Inputs!$C$31)^(Inputs!E$6-1)/Inputs!$C$48*(1+Inputs!$E$61)</f>
        <v>32.41875</v>
      </c>
      <c r="F176" s="37" t="n">
        <f aca="false">F169*Inputs!$C$30*(1+Inputs!$C$31)^(Inputs!F$6-1)/Inputs!$C$48*(1+Inputs!$E$61)</f>
        <v>39.2765625</v>
      </c>
      <c r="G176" s="37" t="n">
        <f aca="false">G169*Inputs!$C$30*(1+Inputs!$C$31)^(Inputs!G$6-1)/Inputs!$C$48*(1+Inputs!$E$61)</f>
        <v>43.98975</v>
      </c>
      <c r="H176" s="37" t="n">
        <f aca="false">H169*Inputs!$C$30*(1+Inputs!$C$31)^(Inputs!H$6-1)/Inputs!$C$48*(1+Inputs!$E$61)</f>
        <v>46.1892375</v>
      </c>
      <c r="I176" s="37" t="n">
        <f aca="false">I169*Inputs!$C$30*(1+Inputs!$C$31)^(Inputs!I$6-1)/Inputs!$C$48*(1+Inputs!$E$61)</f>
        <v>49.711166859375</v>
      </c>
      <c r="J176" s="37" t="n">
        <f aca="false">J169*Inputs!$C$30*(1+Inputs!$C$31)^(Inputs!J$6-1)/Inputs!$C$48*(1+Inputs!$E$61)</f>
        <v>52.1967252023438</v>
      </c>
      <c r="K176" s="37" t="n">
        <f aca="false">K169*Inputs!$C$30*(1+Inputs!$C$31)^(Inputs!K$6-1)/Inputs!$C$48*(1+Inputs!$E$61)</f>
        <v>54.806561462461</v>
      </c>
      <c r="L176" s="37" t="n">
        <f aca="false">L169*Inputs!$C$30*(1+Inputs!$C$31)^(Inputs!L$6-1)/Inputs!$C$48*(1+Inputs!$E$61)</f>
        <v>57.546889535584</v>
      </c>
      <c r="M176" s="37" t="n">
        <f aca="false">M169*Inputs!$C$30*(1+Inputs!$C$31)^(Inputs!M$6-1)/Inputs!$C$48*(1+Inputs!$E$61)</f>
        <v>60.4242340123632</v>
      </c>
    </row>
    <row r="177" customFormat="false" ht="15" hidden="false" customHeight="false" outlineLevel="0" collapsed="false">
      <c r="A177" s="26" t="s">
        <v>155</v>
      </c>
      <c r="B177" s="36" t="s">
        <v>55</v>
      </c>
      <c r="D177" s="37" t="n">
        <f aca="false">-D176*Inputs!$C$32</f>
        <v>-4.7025</v>
      </c>
      <c r="E177" s="37" t="n">
        <f aca="false">-E176*Inputs!$C$32</f>
        <v>-5.835375</v>
      </c>
      <c r="F177" s="37" t="n">
        <f aca="false">-F176*Inputs!$C$32</f>
        <v>-7.06978125</v>
      </c>
      <c r="G177" s="37" t="n">
        <f aca="false">-G176*Inputs!$C$32</f>
        <v>-7.918155</v>
      </c>
      <c r="H177" s="37" t="n">
        <f aca="false">-H176*Inputs!$C$32</f>
        <v>-8.31406275</v>
      </c>
      <c r="I177" s="37" t="n">
        <f aca="false">-I176*Inputs!$C$32</f>
        <v>-8.9480100346875</v>
      </c>
      <c r="J177" s="37" t="n">
        <f aca="false">-J176*Inputs!$C$32</f>
        <v>-9.39541053642188</v>
      </c>
      <c r="K177" s="37" t="n">
        <f aca="false">-K176*Inputs!$C$32</f>
        <v>-9.86518106324297</v>
      </c>
      <c r="L177" s="37" t="n">
        <f aca="false">-L176*Inputs!$C$32</f>
        <v>-10.3584401164051</v>
      </c>
      <c r="M177" s="37" t="n">
        <f aca="false">-M176*Inputs!$C$32</f>
        <v>-10.8763621222254</v>
      </c>
    </row>
    <row r="178" customFormat="false" ht="15" hidden="false" customHeight="false" outlineLevel="0" collapsed="false">
      <c r="A178" s="26" t="s">
        <v>156</v>
      </c>
      <c r="B178" s="36" t="s">
        <v>55</v>
      </c>
      <c r="D178" s="37" t="n">
        <f aca="false">D173*Inputs!$C$33*(1+Inputs!$E$61)</f>
        <v>4.9005</v>
      </c>
      <c r="E178" s="37" t="n">
        <f aca="false">E173*Inputs!$C$33*(1+Inputs!$E$61)</f>
        <v>6.02316</v>
      </c>
      <c r="F178" s="37" t="n">
        <f aca="false">F173*Inputs!$C$33*(1+Inputs!$E$61)</f>
        <v>7.227792</v>
      </c>
      <c r="G178" s="37" t="n">
        <f aca="false">G173*Inputs!$C$33*(1+Inputs!$E$61)</f>
        <v>8.018030592</v>
      </c>
      <c r="H178" s="37" t="n">
        <f aca="false">H173*Inputs!$C$33*(1+Inputs!$E$61)</f>
        <v>8.33875181568</v>
      </c>
      <c r="I178" s="37" t="n">
        <f aca="false">I173*Inputs!$C$33*(1+Inputs!$E$61)</f>
        <v>8.88910943551488</v>
      </c>
      <c r="J178" s="37" t="n">
        <f aca="false">J173*Inputs!$C$33*(1+Inputs!$E$61)</f>
        <v>9.24467381293548</v>
      </c>
      <c r="K178" s="37" t="n">
        <f aca="false">K173*Inputs!$C$33*(1+Inputs!$E$61)</f>
        <v>9.6144607654529</v>
      </c>
      <c r="L178" s="37" t="n">
        <f aca="false">L173*Inputs!$C$33*(1+Inputs!$E$61)</f>
        <v>9.99903919607101</v>
      </c>
      <c r="M178" s="37" t="n">
        <f aca="false">M173*Inputs!$C$33*(1+Inputs!$E$61)</f>
        <v>10.3990007639139</v>
      </c>
    </row>
    <row r="179" customFormat="false" ht="15" hidden="false" customHeight="false" outlineLevel="0" collapsed="false">
      <c r="A179" s="26" t="s">
        <v>157</v>
      </c>
      <c r="B179" s="36" t="s">
        <v>55</v>
      </c>
      <c r="D179" s="37" t="n">
        <f aca="false">Inputs!$C$34*(1+Inputs!$C$35)^(Inputs!D$6-1)*(1+Inputs!$E$61)</f>
        <v>32</v>
      </c>
      <c r="E179" s="37" t="n">
        <f aca="false">Inputs!$C$34*(1+Inputs!$C$35)^(Inputs!E$6-1)*(1+Inputs!$E$61)</f>
        <v>33.92</v>
      </c>
      <c r="F179" s="37" t="n">
        <f aca="false">Inputs!$C$34*(1+Inputs!$C$35)^(Inputs!F$6-1)*(1+Inputs!$E$61)</f>
        <v>35.9552</v>
      </c>
      <c r="G179" s="37" t="n">
        <f aca="false">Inputs!$C$34*(1+Inputs!$C$35)^(Inputs!G$6-1)*(1+Inputs!$E$61)</f>
        <v>38.112512</v>
      </c>
      <c r="H179" s="37" t="n">
        <f aca="false">Inputs!$C$34*(1+Inputs!$C$35)^(Inputs!H$6-1)*(1+Inputs!$E$61)</f>
        <v>40.39926272</v>
      </c>
      <c r="I179" s="37" t="n">
        <f aca="false">Inputs!$C$34*(1+Inputs!$C$35)^(Inputs!I$6-1)*(1+Inputs!$E$61)</f>
        <v>42.8232184832</v>
      </c>
      <c r="J179" s="37" t="n">
        <f aca="false">Inputs!$C$34*(1+Inputs!$C$35)^(Inputs!J$6-1)*(1+Inputs!$E$61)</f>
        <v>45.392611592192</v>
      </c>
      <c r="K179" s="37" t="n">
        <f aca="false">Inputs!$C$34*(1+Inputs!$C$35)^(Inputs!K$6-1)*(1+Inputs!$E$61)</f>
        <v>48.1161682877235</v>
      </c>
      <c r="L179" s="37" t="n">
        <f aca="false">Inputs!$C$34*(1+Inputs!$C$35)^(Inputs!L$6-1)*(1+Inputs!$E$61)</f>
        <v>51.003138384987</v>
      </c>
      <c r="M179" s="37" t="n">
        <f aca="false">Inputs!$C$34*(1+Inputs!$C$35)^(Inputs!M$6-1)*(1+Inputs!$E$61)</f>
        <v>54.0633266880862</v>
      </c>
    </row>
    <row r="180" customFormat="false" ht="15" hidden="false" customHeight="false" outlineLevel="0" collapsed="false">
      <c r="A180" s="26" t="s">
        <v>158</v>
      </c>
      <c r="B180" s="36" t="s">
        <v>55</v>
      </c>
      <c r="D180" s="37" t="n">
        <f aca="false">$C$165*Inputs!$C$36*(1+Inputs!$E$61)</f>
        <v>6.435</v>
      </c>
      <c r="E180" s="37" t="n">
        <f aca="false">$C$165*Inputs!$C$36*(1+Inputs!$E$61)</f>
        <v>6.435</v>
      </c>
      <c r="F180" s="37" t="n">
        <f aca="false">$C$165*Inputs!$C$36*(1+Inputs!$E$61)</f>
        <v>6.435</v>
      </c>
      <c r="G180" s="37" t="n">
        <f aca="false">$C$165*Inputs!$C$36*(1+Inputs!$E$61)</f>
        <v>6.435</v>
      </c>
      <c r="H180" s="37" t="n">
        <f aca="false">$C$165*Inputs!$C$36*(1+Inputs!$E$61)</f>
        <v>6.435</v>
      </c>
      <c r="I180" s="37" t="n">
        <f aca="false">$C$165*Inputs!$C$36*(1+Inputs!$E$61)</f>
        <v>6.435</v>
      </c>
      <c r="J180" s="37" t="n">
        <f aca="false">$C$165*Inputs!$C$36*(1+Inputs!$E$61)</f>
        <v>6.435</v>
      </c>
      <c r="K180" s="37" t="n">
        <f aca="false">$C$165*Inputs!$C$36*(1+Inputs!$E$61)</f>
        <v>6.435</v>
      </c>
      <c r="L180" s="37" t="n">
        <f aca="false">$C$165*Inputs!$C$36*(1+Inputs!$E$61)</f>
        <v>6.435</v>
      </c>
      <c r="M180" s="37" t="n">
        <f aca="false">$C$165*Inputs!$C$36*(1+Inputs!$E$61)</f>
        <v>6.435</v>
      </c>
    </row>
    <row r="181" customFormat="false" ht="15" hidden="false" customHeight="false" outlineLevel="0" collapsed="false">
      <c r="A181" s="26" t="s">
        <v>159</v>
      </c>
      <c r="B181" s="36" t="s">
        <v>55</v>
      </c>
      <c r="D181" s="37" t="n">
        <f aca="false">($C$164+$C$166)*Inputs!$C$37*(1+Inputs!$E$61)</f>
        <v>2.7678</v>
      </c>
      <c r="E181" s="37" t="n">
        <f aca="false">($C$164+$C$166)*Inputs!$C$37*(1+Inputs!$E$61)</f>
        <v>2.7678</v>
      </c>
      <c r="F181" s="37" t="n">
        <f aca="false">($C$164+$C$166)*Inputs!$C$37*(1+Inputs!$E$61)</f>
        <v>2.7678</v>
      </c>
      <c r="G181" s="37" t="n">
        <f aca="false">($C$164+$C$166)*Inputs!$C$37*(1+Inputs!$E$61)</f>
        <v>2.7678</v>
      </c>
      <c r="H181" s="37" t="n">
        <f aca="false">($C$164+$C$166)*Inputs!$C$37*(1+Inputs!$E$61)</f>
        <v>2.7678</v>
      </c>
      <c r="I181" s="37" t="n">
        <f aca="false">($C$164+$C$166)*Inputs!$C$37*(1+Inputs!$E$61)</f>
        <v>2.7678</v>
      </c>
      <c r="J181" s="37" t="n">
        <f aca="false">($C$164+$C$166)*Inputs!$C$37*(1+Inputs!$E$61)</f>
        <v>2.7678</v>
      </c>
      <c r="K181" s="37" t="n">
        <f aca="false">($C$164+$C$166)*Inputs!$C$37*(1+Inputs!$E$61)</f>
        <v>2.7678</v>
      </c>
      <c r="L181" s="37" t="n">
        <f aca="false">($C$164+$C$166)*Inputs!$C$37*(1+Inputs!$E$61)</f>
        <v>2.7678</v>
      </c>
      <c r="M181" s="37" t="n">
        <f aca="false">($C$164+$C$166)*Inputs!$C$37*(1+Inputs!$E$61)</f>
        <v>2.7678</v>
      </c>
    </row>
    <row r="182" customFormat="false" ht="15" hidden="false" customHeight="false" outlineLevel="0" collapsed="false">
      <c r="A182" s="26" t="s">
        <v>160</v>
      </c>
      <c r="B182" s="36" t="s">
        <v>55</v>
      </c>
      <c r="D182" s="37" t="n">
        <f aca="false">Inputs!$C$38*(1+Inputs!$C$39)^(Inputs!D$6-1)*(1+Inputs!$E$61)</f>
        <v>9</v>
      </c>
      <c r="E182" s="37" t="n">
        <f aca="false">Inputs!$C$38*(1+Inputs!$C$39)^(Inputs!E$6-1)*(1+Inputs!$E$61)</f>
        <v>9.45</v>
      </c>
      <c r="F182" s="37" t="n">
        <f aca="false">Inputs!$C$38*(1+Inputs!$C$39)^(Inputs!F$6-1)*(1+Inputs!$E$61)</f>
        <v>9.9225</v>
      </c>
      <c r="G182" s="37" t="n">
        <f aca="false">Inputs!$C$38*(1+Inputs!$C$39)^(Inputs!G$6-1)*(1+Inputs!$E$61)</f>
        <v>10.418625</v>
      </c>
      <c r="H182" s="37" t="n">
        <f aca="false">Inputs!$C$38*(1+Inputs!$C$39)^(Inputs!H$6-1)*(1+Inputs!$E$61)</f>
        <v>10.93955625</v>
      </c>
      <c r="I182" s="37" t="n">
        <f aca="false">Inputs!$C$38*(1+Inputs!$C$39)^(Inputs!I$6-1)*(1+Inputs!$E$61)</f>
        <v>11.4865340625</v>
      </c>
      <c r="J182" s="37" t="n">
        <f aca="false">Inputs!$C$38*(1+Inputs!$C$39)^(Inputs!J$6-1)*(1+Inputs!$E$61)</f>
        <v>12.060860765625</v>
      </c>
      <c r="K182" s="37" t="n">
        <f aca="false">Inputs!$C$38*(1+Inputs!$C$39)^(Inputs!K$6-1)*(1+Inputs!$E$61)</f>
        <v>12.6639038039063</v>
      </c>
      <c r="L182" s="37" t="n">
        <f aca="false">Inputs!$C$38*(1+Inputs!$C$39)^(Inputs!L$6-1)*(1+Inputs!$E$61)</f>
        <v>13.2970989941016</v>
      </c>
      <c r="M182" s="37" t="n">
        <f aca="false">Inputs!$C$38*(1+Inputs!$C$39)^(Inputs!M$6-1)*(1+Inputs!$E$61)</f>
        <v>13.9619539438066</v>
      </c>
    </row>
    <row r="183" customFormat="false" ht="15" hidden="false" customHeight="false" outlineLevel="0" collapsed="false">
      <c r="A183" s="9" t="s">
        <v>161</v>
      </c>
      <c r="B183" s="36" t="s">
        <v>55</v>
      </c>
      <c r="D183" s="38" t="n">
        <f aca="false">SUM(D176:D182)</f>
        <v>76.5258</v>
      </c>
      <c r="E183" s="38" t="n">
        <f aca="false">SUM(E176:E182)</f>
        <v>85.179335</v>
      </c>
      <c r="F183" s="38" t="n">
        <f aca="false">SUM(F176:F182)</f>
        <v>94.51507325</v>
      </c>
      <c r="G183" s="38" t="n">
        <f aca="false">SUM(G176:G182)</f>
        <v>101.823562592</v>
      </c>
      <c r="H183" s="38" t="n">
        <f aca="false">SUM(H176:H182)</f>
        <v>106.75554553568</v>
      </c>
      <c r="I183" s="38" t="n">
        <f aca="false">SUM(I176:I182)</f>
        <v>113.164818805902</v>
      </c>
      <c r="J183" s="38" t="n">
        <f aca="false">SUM(J176:J182)</f>
        <v>118.702260836674</v>
      </c>
      <c r="K183" s="38" t="n">
        <f aca="false">SUM(K176:K182)</f>
        <v>124.538713256301</v>
      </c>
      <c r="L183" s="38" t="n">
        <f aca="false">SUM(L176:L182)</f>
        <v>130.690525994338</v>
      </c>
      <c r="M183" s="38" t="n">
        <f aca="false">SUM(M176:M182)</f>
        <v>137.174953285945</v>
      </c>
    </row>
    <row r="184" customFormat="false" ht="15" hidden="false" customHeight="false" outlineLevel="0" collapsed="false">
      <c r="A184" s="26" t="s">
        <v>162</v>
      </c>
      <c r="B184" s="36" t="s">
        <v>55</v>
      </c>
      <c r="D184" s="37" t="n">
        <f aca="false">D176+D177+D178</f>
        <v>26.323</v>
      </c>
      <c r="E184" s="37" t="n">
        <f aca="false">E176+E177+E178</f>
        <v>32.606535</v>
      </c>
      <c r="F184" s="37" t="n">
        <f aca="false">F176+F177+F178</f>
        <v>39.43457325</v>
      </c>
      <c r="G184" s="37" t="n">
        <f aca="false">G176+G177+G178</f>
        <v>44.089625592</v>
      </c>
      <c r="H184" s="37" t="n">
        <f aca="false">H176+H177+H178</f>
        <v>46.21392656568</v>
      </c>
      <c r="I184" s="37" t="n">
        <f aca="false">I176+I177+I178</f>
        <v>49.6522662602024</v>
      </c>
      <c r="J184" s="37" t="n">
        <f aca="false">J176+J177+J178</f>
        <v>52.0459884788574</v>
      </c>
      <c r="K184" s="37" t="n">
        <f aca="false">K176+K177+K178</f>
        <v>54.5558411646709</v>
      </c>
      <c r="L184" s="37" t="n">
        <f aca="false">L176+L177+L178</f>
        <v>57.1874886152499</v>
      </c>
      <c r="M184" s="37" t="n">
        <f aca="false">M176+M177+M178</f>
        <v>59.9468726540517</v>
      </c>
    </row>
    <row r="185" customFormat="false" ht="15" hidden="false" customHeight="false" outlineLevel="0" collapsed="false">
      <c r="A185" s="26" t="s">
        <v>163</v>
      </c>
      <c r="B185" s="36" t="s">
        <v>55</v>
      </c>
      <c r="D185" s="37" t="n">
        <f aca="false">D179+D180+D181+D182</f>
        <v>50.2028</v>
      </c>
      <c r="E185" s="37" t="n">
        <f aca="false">E179+E180+E181+E182</f>
        <v>52.5728</v>
      </c>
      <c r="F185" s="37" t="n">
        <f aca="false">F179+F180+F181+F182</f>
        <v>55.0805</v>
      </c>
      <c r="G185" s="37" t="n">
        <f aca="false">G179+G180+G181+G182</f>
        <v>57.733937</v>
      </c>
      <c r="H185" s="37" t="n">
        <f aca="false">H179+H180+H181+H182</f>
        <v>60.54161897</v>
      </c>
      <c r="I185" s="37" t="n">
        <f aca="false">I179+I180+I181+I182</f>
        <v>63.5125525457</v>
      </c>
      <c r="J185" s="37" t="n">
        <f aca="false">J179+J180+J181+J182</f>
        <v>66.656272357817</v>
      </c>
      <c r="K185" s="37" t="n">
        <f aca="false">K179+K180+K181+K182</f>
        <v>69.9828720916298</v>
      </c>
      <c r="L185" s="37" t="n">
        <f aca="false">L179+L180+L181+L182</f>
        <v>73.5030373790885</v>
      </c>
      <c r="M185" s="37" t="n">
        <f aca="false">M179+M180+M181+M182</f>
        <v>77.2280806318928</v>
      </c>
    </row>
    <row r="186" customFormat="false" ht="15" hidden="false" customHeight="false" outlineLevel="0" collapsed="false">
      <c r="A186" s="9" t="s">
        <v>20</v>
      </c>
      <c r="B186" s="36" t="s">
        <v>55</v>
      </c>
      <c r="D186" s="38" t="n">
        <f aca="false">D173-D183</f>
        <v>86.8242</v>
      </c>
      <c r="E186" s="38" t="n">
        <f aca="false">E173-E183</f>
        <v>115.592665</v>
      </c>
      <c r="F186" s="38" t="n">
        <f aca="false">F173-F183</f>
        <v>146.41132675</v>
      </c>
      <c r="G186" s="38" t="n">
        <f aca="false">G173-G183</f>
        <v>165.444123808</v>
      </c>
      <c r="H186" s="38" t="n">
        <f aca="false">H173-H183</f>
        <v>171.20284832032</v>
      </c>
      <c r="I186" s="38" t="n">
        <f aca="false">I173-I183</f>
        <v>183.138829044594</v>
      </c>
      <c r="J186" s="38" t="n">
        <f aca="false">J173-J183</f>
        <v>189.453532927842</v>
      </c>
      <c r="K186" s="38" t="n">
        <f aca="false">K173-K183</f>
        <v>195.943312258796</v>
      </c>
      <c r="L186" s="38" t="n">
        <f aca="false">L173-L183</f>
        <v>202.610780541362</v>
      </c>
      <c r="M186" s="38" t="n">
        <f aca="false">M173-M183</f>
        <v>209.458405511184</v>
      </c>
    </row>
    <row r="188" customFormat="false" ht="15" hidden="false" customHeight="false" outlineLevel="0" collapsed="false">
      <c r="A188" s="24" t="s">
        <v>164</v>
      </c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</row>
    <row r="189" customFormat="false" ht="15" hidden="false" customHeight="false" outlineLevel="0" collapsed="false">
      <c r="A189" s="26" t="s">
        <v>165</v>
      </c>
      <c r="B189" s="36" t="s">
        <v>55</v>
      </c>
      <c r="D189" s="37" t="n">
        <f aca="false">IF(Inputs!D$6&lt;=Inputs!$C$41,$C$164/Inputs!$C$41,0)</f>
        <v>8.05</v>
      </c>
      <c r="E189" s="37" t="n">
        <f aca="false">IF(Inputs!E$6&lt;=Inputs!$C$41,$C$164/Inputs!$C$41,0)</f>
        <v>8.05</v>
      </c>
      <c r="F189" s="37" t="n">
        <f aca="false">IF(Inputs!F$6&lt;=Inputs!$C$41,$C$164/Inputs!$C$41,0)</f>
        <v>8.05</v>
      </c>
      <c r="G189" s="37" t="n">
        <f aca="false">IF(Inputs!G$6&lt;=Inputs!$C$41,$C$164/Inputs!$C$41,0)</f>
        <v>8.05</v>
      </c>
      <c r="H189" s="37" t="n">
        <f aca="false">IF(Inputs!H$6&lt;=Inputs!$C$41,$C$164/Inputs!$C$41,0)</f>
        <v>8.05</v>
      </c>
      <c r="I189" s="37" t="n">
        <f aca="false">IF(Inputs!I$6&lt;=Inputs!$C$41,$C$164/Inputs!$C$41,0)</f>
        <v>8.05</v>
      </c>
      <c r="J189" s="37" t="n">
        <f aca="false">IF(Inputs!J$6&lt;=Inputs!$C$41,$C$164/Inputs!$C$41,0)</f>
        <v>8.05</v>
      </c>
      <c r="K189" s="37" t="n">
        <f aca="false">IF(Inputs!K$6&lt;=Inputs!$C$41,$C$164/Inputs!$C$41,0)</f>
        <v>8.05</v>
      </c>
      <c r="L189" s="37" t="n">
        <f aca="false">IF(Inputs!L$6&lt;=Inputs!$C$41,$C$164/Inputs!$C$41,0)</f>
        <v>8.05</v>
      </c>
      <c r="M189" s="37" t="n">
        <f aca="false">IF(Inputs!M$6&lt;=Inputs!$C$41,$C$164/Inputs!$C$41,0)</f>
        <v>8.05</v>
      </c>
    </row>
    <row r="190" customFormat="false" ht="15" hidden="false" customHeight="false" outlineLevel="0" collapsed="false">
      <c r="A190" s="26" t="s">
        <v>166</v>
      </c>
      <c r="B190" s="36" t="s">
        <v>55</v>
      </c>
      <c r="D190" s="37" t="n">
        <f aca="false">IF(Inputs!D$6&lt;=Inputs!$C$42,$C$166/Inputs!$C$42,0)</f>
        <v>30.03</v>
      </c>
      <c r="E190" s="37" t="n">
        <f aca="false">IF(Inputs!E$6&lt;=Inputs!$C$42,$C$166/Inputs!$C$42,0)</f>
        <v>30.03</v>
      </c>
      <c r="F190" s="37" t="n">
        <f aca="false">IF(Inputs!F$6&lt;=Inputs!$C$42,$C$166/Inputs!$C$42,0)</f>
        <v>30.03</v>
      </c>
      <c r="G190" s="37" t="n">
        <f aca="false">IF(Inputs!G$6&lt;=Inputs!$C$42,$C$166/Inputs!$C$42,0)</f>
        <v>30.03</v>
      </c>
      <c r="H190" s="37" t="n">
        <f aca="false">IF(Inputs!H$6&lt;=Inputs!$C$42,$C$166/Inputs!$C$42,0)</f>
        <v>30.03</v>
      </c>
      <c r="I190" s="37" t="n">
        <f aca="false">IF(Inputs!I$6&lt;=Inputs!$C$42,$C$166/Inputs!$C$42,0)</f>
        <v>30.03</v>
      </c>
      <c r="J190" s="37" t="n">
        <f aca="false">IF(Inputs!J$6&lt;=Inputs!$C$42,$C$166/Inputs!$C$42,0)</f>
        <v>30.03</v>
      </c>
      <c r="K190" s="37" t="n">
        <f aca="false">IF(Inputs!K$6&lt;=Inputs!$C$42,$C$166/Inputs!$C$42,0)</f>
        <v>30.03</v>
      </c>
      <c r="L190" s="37" t="n">
        <f aca="false">IF(Inputs!L$6&lt;=Inputs!$C$42,$C$166/Inputs!$C$42,0)</f>
        <v>30.03</v>
      </c>
      <c r="M190" s="37" t="n">
        <f aca="false">IF(Inputs!M$6&lt;=Inputs!$C$42,$C$166/Inputs!$C$42,0)</f>
        <v>30.03</v>
      </c>
    </row>
    <row r="191" customFormat="false" ht="15" hidden="false" customHeight="false" outlineLevel="0" collapsed="false">
      <c r="A191" s="26" t="s">
        <v>167</v>
      </c>
      <c r="B191" s="36" t="s">
        <v>55</v>
      </c>
      <c r="D191" s="37" t="n">
        <f aca="false">IF(Inputs!D$6&lt;=Inputs!$C$43,$C$152/Inputs!$C$43,0)</f>
        <v>4.4</v>
      </c>
      <c r="E191" s="37" t="n">
        <f aca="false">IF(Inputs!E$6&lt;=Inputs!$C$43,$C$152/Inputs!$C$43,0)</f>
        <v>4.4</v>
      </c>
      <c r="F191" s="37" t="n">
        <f aca="false">IF(Inputs!F$6&lt;=Inputs!$C$43,$C$152/Inputs!$C$43,0)</f>
        <v>4.4</v>
      </c>
      <c r="G191" s="37" t="n">
        <f aca="false">IF(Inputs!G$6&lt;=Inputs!$C$43,$C$152/Inputs!$C$43,0)</f>
        <v>4.4</v>
      </c>
      <c r="H191" s="37" t="n">
        <f aca="false">IF(Inputs!H$6&lt;=Inputs!$C$43,$C$152/Inputs!$C$43,0)</f>
        <v>4.4</v>
      </c>
      <c r="I191" s="37" t="n">
        <f aca="false">IF(Inputs!I$6&lt;=Inputs!$C$43,$C$152/Inputs!$C$43,0)</f>
        <v>0</v>
      </c>
      <c r="J191" s="37" t="n">
        <f aca="false">IF(Inputs!J$6&lt;=Inputs!$C$43,$C$152/Inputs!$C$43,0)</f>
        <v>0</v>
      </c>
      <c r="K191" s="37" t="n">
        <f aca="false">IF(Inputs!K$6&lt;=Inputs!$C$43,$C$152/Inputs!$C$43,0)</f>
        <v>0</v>
      </c>
      <c r="L191" s="37" t="n">
        <f aca="false">IF(Inputs!L$6&lt;=Inputs!$C$43,$C$152/Inputs!$C$43,0)</f>
        <v>0</v>
      </c>
      <c r="M191" s="37" t="n">
        <f aca="false">IF(Inputs!M$6&lt;=Inputs!$C$43,$C$152/Inputs!$C$43,0)</f>
        <v>0</v>
      </c>
    </row>
    <row r="192" customFormat="false" ht="15" hidden="false" customHeight="false" outlineLevel="0" collapsed="false">
      <c r="A192" s="9" t="s">
        <v>168</v>
      </c>
      <c r="B192" s="36" t="s">
        <v>55</v>
      </c>
      <c r="D192" s="38" t="n">
        <f aca="false">SUM(D189:D191)</f>
        <v>42.48</v>
      </c>
      <c r="E192" s="38" t="n">
        <f aca="false">SUM(E189:E191)</f>
        <v>42.48</v>
      </c>
      <c r="F192" s="38" t="n">
        <f aca="false">SUM(F189:F191)</f>
        <v>42.48</v>
      </c>
      <c r="G192" s="38" t="n">
        <f aca="false">SUM(G189:G191)</f>
        <v>42.48</v>
      </c>
      <c r="H192" s="38" t="n">
        <f aca="false">SUM(H189:H191)</f>
        <v>42.48</v>
      </c>
      <c r="I192" s="38" t="n">
        <f aca="false">SUM(I189:I191)</f>
        <v>38.08</v>
      </c>
      <c r="J192" s="38" t="n">
        <f aca="false">SUM(J189:J191)</f>
        <v>38.08</v>
      </c>
      <c r="K192" s="38" t="n">
        <f aca="false">SUM(K189:K191)</f>
        <v>38.08</v>
      </c>
      <c r="L192" s="38" t="n">
        <f aca="false">SUM(L189:L191)</f>
        <v>38.08</v>
      </c>
      <c r="M192" s="38" t="n">
        <f aca="false">SUM(M189:M191)</f>
        <v>38.08</v>
      </c>
    </row>
    <row r="193" customFormat="false" ht="15" hidden="false" customHeight="false" outlineLevel="0" collapsed="false">
      <c r="A193" s="26" t="s">
        <v>169</v>
      </c>
      <c r="B193" s="36" t="s">
        <v>55</v>
      </c>
      <c r="C193" s="37" t="n">
        <f aca="false">C153</f>
        <v>753.95</v>
      </c>
      <c r="D193" s="37" t="n">
        <f aca="false">C193-D192</f>
        <v>711.47</v>
      </c>
      <c r="E193" s="37" t="n">
        <f aca="false">D193-E192</f>
        <v>668.99</v>
      </c>
      <c r="F193" s="37" t="n">
        <f aca="false">E193-F192</f>
        <v>626.51</v>
      </c>
      <c r="G193" s="37" t="n">
        <f aca="false">F193-G192</f>
        <v>584.03</v>
      </c>
      <c r="H193" s="37" t="n">
        <f aca="false">G193-H192</f>
        <v>541.55</v>
      </c>
      <c r="I193" s="37" t="n">
        <f aca="false">H193-I192</f>
        <v>503.47</v>
      </c>
      <c r="J193" s="37" t="n">
        <f aca="false">I193-J192</f>
        <v>465.39</v>
      </c>
      <c r="K193" s="37" t="n">
        <f aca="false">J193-K192</f>
        <v>427.31</v>
      </c>
      <c r="L193" s="37" t="n">
        <f aca="false">K193-L192</f>
        <v>389.23</v>
      </c>
      <c r="M193" s="37" t="n">
        <f aca="false">L193-M192</f>
        <v>351.15</v>
      </c>
    </row>
    <row r="195" customFormat="false" ht="15" hidden="false" customHeight="false" outlineLevel="0" collapsed="false">
      <c r="A195" s="24" t="s">
        <v>170</v>
      </c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</row>
    <row r="196" customFormat="false" ht="15" hidden="false" customHeight="false" outlineLevel="0" collapsed="false">
      <c r="A196" s="26" t="s">
        <v>171</v>
      </c>
      <c r="B196" s="36" t="s">
        <v>55</v>
      </c>
      <c r="C196" s="37" t="n">
        <f aca="false">0</f>
        <v>0</v>
      </c>
      <c r="D196" s="37" t="n">
        <f aca="false">D173*Inputs!$C$45/Inputs!$C$47</f>
        <v>20.1390410958904</v>
      </c>
      <c r="E196" s="37" t="n">
        <f aca="false">E173*Inputs!$C$45/Inputs!$C$47</f>
        <v>24.7527123287671</v>
      </c>
      <c r="F196" s="37" t="n">
        <f aca="false">F173*Inputs!$C$45/Inputs!$C$47</f>
        <v>29.7032547945205</v>
      </c>
      <c r="G196" s="37" t="n">
        <f aca="false">G173*Inputs!$C$45/Inputs!$C$47</f>
        <v>32.9508106520548</v>
      </c>
      <c r="H196" s="37" t="n">
        <f aca="false">H173*Inputs!$C$45/Inputs!$C$47</f>
        <v>34.268843078137</v>
      </c>
      <c r="I196" s="37" t="n">
        <f aca="false">I173*Inputs!$C$45/Inputs!$C$47</f>
        <v>36.530586721294</v>
      </c>
      <c r="J196" s="37" t="n">
        <f aca="false">J173*Inputs!$C$45/Inputs!$C$47</f>
        <v>37.9918101901458</v>
      </c>
      <c r="K196" s="37" t="n">
        <f aca="false">K173*Inputs!$C$45/Inputs!$C$47</f>
        <v>39.5114825977516</v>
      </c>
      <c r="L196" s="37" t="n">
        <f aca="false">L173*Inputs!$C$45/Inputs!$C$47</f>
        <v>41.0919419016617</v>
      </c>
      <c r="M196" s="37" t="n">
        <f aca="false">M173*Inputs!$C$45/Inputs!$C$47</f>
        <v>42.7356195777282</v>
      </c>
    </row>
    <row r="197" customFormat="false" ht="15" hidden="false" customHeight="false" outlineLevel="0" collapsed="false">
      <c r="A197" s="26" t="s">
        <v>172</v>
      </c>
      <c r="B197" s="36" t="s">
        <v>55</v>
      </c>
      <c r="C197" s="37" t="n">
        <f aca="false">0</f>
        <v>0</v>
      </c>
      <c r="D197" s="37" t="n">
        <f aca="false">D183*Inputs!$C$46/Inputs!$C$47</f>
        <v>6.28979178082192</v>
      </c>
      <c r="E197" s="37" t="n">
        <f aca="false">E183*Inputs!$C$46/Inputs!$C$47</f>
        <v>7.00104123287671</v>
      </c>
      <c r="F197" s="37" t="n">
        <f aca="false">F183*Inputs!$C$46/Inputs!$C$47</f>
        <v>7.76836218493151</v>
      </c>
      <c r="G197" s="37" t="n">
        <f aca="false">G183*Inputs!$C$46/Inputs!$C$47</f>
        <v>8.3690599390685</v>
      </c>
      <c r="H197" s="37" t="n">
        <f aca="false">H183*Inputs!$C$46/Inputs!$C$47</f>
        <v>8.77442840019288</v>
      </c>
      <c r="I197" s="37" t="n">
        <f aca="false">I183*Inputs!$C$46/Inputs!$C$47</f>
        <v>9.30121798404677</v>
      </c>
      <c r="J197" s="37" t="n">
        <f aca="false">J183*Inputs!$C$46/Inputs!$C$47</f>
        <v>9.75635020575406</v>
      </c>
      <c r="K197" s="37" t="n">
        <f aca="false">K183*Inputs!$C$46/Inputs!$C$47</f>
        <v>10.2360586238055</v>
      </c>
      <c r="L197" s="37" t="n">
        <f aca="false">L183*Inputs!$C$46/Inputs!$C$47</f>
        <v>10.7416870680278</v>
      </c>
      <c r="M197" s="37" t="n">
        <f aca="false">M183*Inputs!$C$46/Inputs!$C$47</f>
        <v>11.2746536947352</v>
      </c>
    </row>
    <row r="198" customFormat="false" ht="15" hidden="false" customHeight="false" outlineLevel="0" collapsed="false">
      <c r="A198" s="9" t="s">
        <v>173</v>
      </c>
      <c r="B198" s="36" t="s">
        <v>55</v>
      </c>
      <c r="C198" s="43" t="n">
        <f aca="false">C196-C197</f>
        <v>0</v>
      </c>
      <c r="D198" s="43" t="n">
        <f aca="false">D196-D197</f>
        <v>13.8492493150685</v>
      </c>
      <c r="E198" s="43" t="n">
        <f aca="false">E196-E197</f>
        <v>17.7516710958904</v>
      </c>
      <c r="F198" s="43" t="n">
        <f aca="false">F196-F197</f>
        <v>21.934892609589</v>
      </c>
      <c r="G198" s="43" t="n">
        <f aca="false">G196-G197</f>
        <v>24.5817507129863</v>
      </c>
      <c r="H198" s="43" t="n">
        <f aca="false">H196-H197</f>
        <v>25.4944146779441</v>
      </c>
      <c r="I198" s="43" t="n">
        <f aca="false">I196-I197</f>
        <v>27.2293687372473</v>
      </c>
      <c r="J198" s="43" t="n">
        <f aca="false">J196-J197</f>
        <v>28.2354599843917</v>
      </c>
      <c r="K198" s="43" t="n">
        <f aca="false">K196-K197</f>
        <v>29.2754239739461</v>
      </c>
      <c r="L198" s="43" t="n">
        <f aca="false">L196-L197</f>
        <v>30.3502548336339</v>
      </c>
      <c r="M198" s="43" t="n">
        <f aca="false">M196-M197</f>
        <v>31.460965882993</v>
      </c>
    </row>
    <row r="199" customFormat="false" ht="15" hidden="false" customHeight="false" outlineLevel="0" collapsed="false">
      <c r="A199" s="24" t="s">
        <v>274</v>
      </c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</row>
    <row r="200" customFormat="false" ht="15" hidden="false" customHeight="false" outlineLevel="0" collapsed="false">
      <c r="A200" s="26" t="s">
        <v>176</v>
      </c>
      <c r="B200" s="36" t="s">
        <v>55</v>
      </c>
      <c r="C200" s="37" t="n">
        <f aca="false">0</f>
        <v>0</v>
      </c>
      <c r="D200" s="37" t="n">
        <f aca="false">C205</f>
        <v>463.17</v>
      </c>
      <c r="E200" s="37" t="n">
        <f aca="false">D205</f>
        <v>463.17</v>
      </c>
      <c r="F200" s="37" t="n">
        <f aca="false">E205</f>
        <v>463.17</v>
      </c>
      <c r="G200" s="37" t="n">
        <f aca="false">F205</f>
        <v>397.002857142857</v>
      </c>
      <c r="H200" s="37" t="n">
        <f aca="false">G205</f>
        <v>330.835714285714</v>
      </c>
      <c r="I200" s="37" t="n">
        <f aca="false">H205</f>
        <v>264.668571428571</v>
      </c>
      <c r="J200" s="37" t="n">
        <f aca="false">I205</f>
        <v>198.501428571429</v>
      </c>
      <c r="K200" s="37" t="n">
        <f aca="false">J205</f>
        <v>132.334285714286</v>
      </c>
      <c r="L200" s="37" t="n">
        <f aca="false">K205</f>
        <v>66.1671428571429</v>
      </c>
      <c r="M200" s="37" t="n">
        <f aca="false">L205</f>
        <v>0</v>
      </c>
    </row>
    <row r="201" customFormat="false" ht="15" hidden="false" customHeight="false" outlineLevel="0" collapsed="false">
      <c r="A201" s="26" t="s">
        <v>177</v>
      </c>
      <c r="B201" s="36" t="s">
        <v>55</v>
      </c>
      <c r="C201" s="37" t="n">
        <f aca="false">C158</f>
        <v>463.17</v>
      </c>
      <c r="D201" s="37" t="n">
        <f aca="false">0</f>
        <v>0</v>
      </c>
      <c r="E201" s="37" t="n">
        <f aca="false">0</f>
        <v>0</v>
      </c>
      <c r="F201" s="37" t="n">
        <f aca="false">0</f>
        <v>0</v>
      </c>
      <c r="G201" s="37" t="n">
        <f aca="false">0</f>
        <v>0</v>
      </c>
      <c r="H201" s="37" t="n">
        <f aca="false">0</f>
        <v>0</v>
      </c>
      <c r="I201" s="37" t="n">
        <f aca="false">0</f>
        <v>0</v>
      </c>
      <c r="J201" s="37" t="n">
        <f aca="false">0</f>
        <v>0</v>
      </c>
      <c r="K201" s="37" t="n">
        <f aca="false">0</f>
        <v>0</v>
      </c>
      <c r="L201" s="37" t="n">
        <f aca="false">0</f>
        <v>0</v>
      </c>
      <c r="M201" s="37" t="n">
        <f aca="false">0</f>
        <v>0</v>
      </c>
    </row>
    <row r="202" customFormat="false" ht="15" hidden="false" customHeight="false" outlineLevel="0" collapsed="false">
      <c r="A202" s="26" t="s">
        <v>178</v>
      </c>
      <c r="B202" s="36" t="s">
        <v>62</v>
      </c>
      <c r="C202" s="40" t="n">
        <f aca="false">Inputs!$C$21+Inputs!$G$61</f>
        <v>0.105</v>
      </c>
      <c r="D202" s="40" t="n">
        <f aca="false">Inputs!$C$21+Inputs!$G$61</f>
        <v>0.105</v>
      </c>
      <c r="E202" s="40" t="n">
        <f aca="false">Inputs!$C$21+Inputs!$G$61</f>
        <v>0.105</v>
      </c>
      <c r="F202" s="40" t="n">
        <f aca="false">Inputs!$C$21+Inputs!$G$61</f>
        <v>0.105</v>
      </c>
      <c r="G202" s="40" t="n">
        <f aca="false">Inputs!$C$21+Inputs!$G$61</f>
        <v>0.105</v>
      </c>
      <c r="H202" s="40" t="n">
        <f aca="false">Inputs!$C$21+Inputs!$G$61</f>
        <v>0.105</v>
      </c>
      <c r="I202" s="40" t="n">
        <f aca="false">Inputs!$C$21+Inputs!$G$61</f>
        <v>0.105</v>
      </c>
      <c r="J202" s="40" t="n">
        <f aca="false">Inputs!$C$21+Inputs!$G$61</f>
        <v>0.105</v>
      </c>
      <c r="K202" s="40" t="n">
        <f aca="false">Inputs!$C$21+Inputs!$G$61</f>
        <v>0.105</v>
      </c>
      <c r="L202" s="40" t="n">
        <f aca="false">Inputs!$C$21+Inputs!$G$61</f>
        <v>0.105</v>
      </c>
      <c r="M202" s="40" t="n">
        <f aca="false">Inputs!$C$21+Inputs!$G$61</f>
        <v>0.105</v>
      </c>
    </row>
    <row r="203" customFormat="false" ht="15" hidden="false" customHeight="false" outlineLevel="0" collapsed="false">
      <c r="A203" s="26" t="s">
        <v>179</v>
      </c>
      <c r="B203" s="36" t="s">
        <v>55</v>
      </c>
      <c r="C203" s="37" t="n">
        <f aca="false">0</f>
        <v>0</v>
      </c>
      <c r="D203" s="37" t="n">
        <f aca="false">D200*D202</f>
        <v>48.63285</v>
      </c>
      <c r="E203" s="37" t="n">
        <f aca="false">E200*E202</f>
        <v>48.63285</v>
      </c>
      <c r="F203" s="37" t="n">
        <f aca="false">F200*F202</f>
        <v>48.63285</v>
      </c>
      <c r="G203" s="37" t="n">
        <f aca="false">G200*G202</f>
        <v>41.6853</v>
      </c>
      <c r="H203" s="37" t="n">
        <f aca="false">H200*H202</f>
        <v>34.73775</v>
      </c>
      <c r="I203" s="37" t="n">
        <f aca="false">I200*I202</f>
        <v>27.7902</v>
      </c>
      <c r="J203" s="37" t="n">
        <f aca="false">J200*J202</f>
        <v>20.84265</v>
      </c>
      <c r="K203" s="37" t="n">
        <f aca="false">K200*K202</f>
        <v>13.8951</v>
      </c>
      <c r="L203" s="37" t="n">
        <f aca="false">L200*L202</f>
        <v>6.94755</v>
      </c>
      <c r="M203" s="37" t="n">
        <f aca="false">M200*M202</f>
        <v>0</v>
      </c>
    </row>
    <row r="204" customFormat="false" ht="15" hidden="false" customHeight="false" outlineLevel="0" collapsed="false">
      <c r="A204" s="26" t="s">
        <v>180</v>
      </c>
      <c r="B204" s="36" t="s">
        <v>55</v>
      </c>
      <c r="C204" s="37" t="n">
        <f aca="false">0</f>
        <v>0</v>
      </c>
      <c r="D204" s="37" t="n">
        <f aca="false">IF(AND(Inputs!D$6&gt;Inputs!$C$22,Inputs!D$6&lt;=Inputs!$C$22+Inputs!$C$23),MIN(D200,$C$158/Inputs!$C$23),0)</f>
        <v>0</v>
      </c>
      <c r="E204" s="37" t="n">
        <f aca="false">IF(AND(Inputs!E$6&gt;Inputs!$C$22,Inputs!E$6&lt;=Inputs!$C$22+Inputs!$C$23),MIN(E200,$C$158/Inputs!$C$23),0)</f>
        <v>0</v>
      </c>
      <c r="F204" s="37" t="n">
        <f aca="false">IF(AND(Inputs!F$6&gt;Inputs!$C$22,Inputs!F$6&lt;=Inputs!$C$22+Inputs!$C$23),MIN(F200,$C$158/Inputs!$C$23),0)</f>
        <v>66.1671428571429</v>
      </c>
      <c r="G204" s="37" t="n">
        <f aca="false">IF(AND(Inputs!G$6&gt;Inputs!$C$22,Inputs!G$6&lt;=Inputs!$C$22+Inputs!$C$23),MIN(G200,$C$158/Inputs!$C$23),0)</f>
        <v>66.1671428571429</v>
      </c>
      <c r="H204" s="37" t="n">
        <f aca="false">IF(AND(Inputs!H$6&gt;Inputs!$C$22,Inputs!H$6&lt;=Inputs!$C$22+Inputs!$C$23),MIN(H200,$C$158/Inputs!$C$23),0)</f>
        <v>66.1671428571429</v>
      </c>
      <c r="I204" s="37" t="n">
        <f aca="false">IF(AND(Inputs!I$6&gt;Inputs!$C$22,Inputs!I$6&lt;=Inputs!$C$22+Inputs!$C$23),MIN(I200,$C$158/Inputs!$C$23),0)</f>
        <v>66.1671428571429</v>
      </c>
      <c r="J204" s="37" t="n">
        <f aca="false">IF(AND(Inputs!J$6&gt;Inputs!$C$22,Inputs!J$6&lt;=Inputs!$C$22+Inputs!$C$23),MIN(J200,$C$158/Inputs!$C$23),0)</f>
        <v>66.1671428571429</v>
      </c>
      <c r="K204" s="37" t="n">
        <f aca="false">IF(AND(Inputs!K$6&gt;Inputs!$C$22,Inputs!K$6&lt;=Inputs!$C$22+Inputs!$C$23),MIN(K200,$C$158/Inputs!$C$23),0)</f>
        <v>66.1671428571429</v>
      </c>
      <c r="L204" s="37" t="n">
        <f aca="false">IF(AND(Inputs!L$6&gt;Inputs!$C$22,Inputs!L$6&lt;=Inputs!$C$22+Inputs!$C$23),MIN(L200,$C$158/Inputs!$C$23),0)</f>
        <v>66.1671428571429</v>
      </c>
      <c r="M204" s="37" t="n">
        <f aca="false">IF(AND(Inputs!M$6&gt;Inputs!$C$22,Inputs!M$6&lt;=Inputs!$C$22+Inputs!$C$23),MIN(M200,$C$158/Inputs!$C$23),0)</f>
        <v>0</v>
      </c>
    </row>
    <row r="205" customFormat="false" ht="15" hidden="false" customHeight="false" outlineLevel="0" collapsed="false">
      <c r="A205" s="9" t="s">
        <v>181</v>
      </c>
      <c r="B205" s="36" t="s">
        <v>55</v>
      </c>
      <c r="C205" s="38" t="n">
        <f aca="false">C200+C201-C204</f>
        <v>463.17</v>
      </c>
      <c r="D205" s="38" t="n">
        <f aca="false">D200+D201-D204</f>
        <v>463.17</v>
      </c>
      <c r="E205" s="38" t="n">
        <f aca="false">E200+E201-E204</f>
        <v>463.17</v>
      </c>
      <c r="F205" s="38" t="n">
        <f aca="false">F200+F201-F204</f>
        <v>397.002857142857</v>
      </c>
      <c r="G205" s="38" t="n">
        <f aca="false">G200+G201-G204</f>
        <v>330.835714285714</v>
      </c>
      <c r="H205" s="38" t="n">
        <f aca="false">H200+H201-H204</f>
        <v>264.668571428571</v>
      </c>
      <c r="I205" s="38" t="n">
        <f aca="false">I200+I201-I204</f>
        <v>198.501428571429</v>
      </c>
      <c r="J205" s="38" t="n">
        <f aca="false">J200+J201-J204</f>
        <v>132.334285714286</v>
      </c>
      <c r="K205" s="38" t="n">
        <f aca="false">K200+K201-K204</f>
        <v>66.1671428571429</v>
      </c>
      <c r="L205" s="38" t="n">
        <f aca="false">L200+L201-L204</f>
        <v>0</v>
      </c>
      <c r="M205" s="38" t="n">
        <f aca="false">M200+M201-M204</f>
        <v>0</v>
      </c>
    </row>
    <row r="206" customFormat="false" ht="15" hidden="false" customHeight="false" outlineLevel="0" collapsed="false">
      <c r="A206" s="24" t="s">
        <v>275</v>
      </c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</row>
    <row r="207" customFormat="false" ht="15" hidden="false" customHeight="false" outlineLevel="0" collapsed="false">
      <c r="A207" s="26" t="s">
        <v>152</v>
      </c>
      <c r="B207" s="36" t="s">
        <v>55</v>
      </c>
      <c r="D207" s="37" t="n">
        <f aca="false">D173</f>
        <v>163.35</v>
      </c>
      <c r="E207" s="37" t="n">
        <f aca="false">E173</f>
        <v>200.772</v>
      </c>
      <c r="F207" s="37" t="n">
        <f aca="false">F173</f>
        <v>240.9264</v>
      </c>
      <c r="G207" s="37" t="n">
        <f aca="false">G173</f>
        <v>267.2676864</v>
      </c>
      <c r="H207" s="37" t="n">
        <f aca="false">H173</f>
        <v>277.958393856</v>
      </c>
      <c r="I207" s="37" t="n">
        <f aca="false">I173</f>
        <v>296.303647850496</v>
      </c>
      <c r="J207" s="37" t="n">
        <f aca="false">J173</f>
        <v>308.155793764516</v>
      </c>
      <c r="K207" s="37" t="n">
        <f aca="false">K173</f>
        <v>320.482025515097</v>
      </c>
      <c r="L207" s="37" t="n">
        <f aca="false">L173</f>
        <v>333.3013065357</v>
      </c>
      <c r="M207" s="37" t="n">
        <f aca="false">M173</f>
        <v>346.633358797128</v>
      </c>
    </row>
    <row r="208" customFormat="false" ht="15" hidden="false" customHeight="false" outlineLevel="0" collapsed="false">
      <c r="A208" s="26" t="s">
        <v>77</v>
      </c>
      <c r="B208" s="36" t="s">
        <v>55</v>
      </c>
      <c r="D208" s="37" t="n">
        <f aca="false">D183</f>
        <v>76.5258</v>
      </c>
      <c r="E208" s="37" t="n">
        <f aca="false">E183</f>
        <v>85.179335</v>
      </c>
      <c r="F208" s="37" t="n">
        <f aca="false">F183</f>
        <v>94.51507325</v>
      </c>
      <c r="G208" s="37" t="n">
        <f aca="false">G183</f>
        <v>101.823562592</v>
      </c>
      <c r="H208" s="37" t="n">
        <f aca="false">H183</f>
        <v>106.75554553568</v>
      </c>
      <c r="I208" s="37" t="n">
        <f aca="false">I183</f>
        <v>113.164818805902</v>
      </c>
      <c r="J208" s="37" t="n">
        <f aca="false">J183</f>
        <v>118.702260836674</v>
      </c>
      <c r="K208" s="37" t="n">
        <f aca="false">K183</f>
        <v>124.538713256301</v>
      </c>
      <c r="L208" s="37" t="n">
        <f aca="false">L183</f>
        <v>130.690525994338</v>
      </c>
      <c r="M208" s="37" t="n">
        <f aca="false">M183</f>
        <v>137.174953285945</v>
      </c>
    </row>
    <row r="209" customFormat="false" ht="15" hidden="false" customHeight="false" outlineLevel="0" collapsed="false">
      <c r="A209" s="9" t="s">
        <v>20</v>
      </c>
      <c r="B209" s="36" t="s">
        <v>55</v>
      </c>
      <c r="D209" s="38" t="n">
        <f aca="false">D207-D208</f>
        <v>86.8242</v>
      </c>
      <c r="E209" s="38" t="n">
        <f aca="false">E207-E208</f>
        <v>115.592665</v>
      </c>
      <c r="F209" s="38" t="n">
        <f aca="false">F207-F208</f>
        <v>146.41132675</v>
      </c>
      <c r="G209" s="38" t="n">
        <f aca="false">G207-G208</f>
        <v>165.444123808</v>
      </c>
      <c r="H209" s="38" t="n">
        <f aca="false">H207-H208</f>
        <v>171.20284832032</v>
      </c>
      <c r="I209" s="38" t="n">
        <f aca="false">I207-I208</f>
        <v>183.138829044594</v>
      </c>
      <c r="J209" s="38" t="n">
        <f aca="false">J207-J208</f>
        <v>189.453532927842</v>
      </c>
      <c r="K209" s="38" t="n">
        <f aca="false">K207-K208</f>
        <v>195.943312258796</v>
      </c>
      <c r="L209" s="38" t="n">
        <f aca="false">L207-L208</f>
        <v>202.610780541362</v>
      </c>
      <c r="M209" s="38" t="n">
        <f aca="false">M207-M208</f>
        <v>209.458405511184</v>
      </c>
    </row>
    <row r="210" customFormat="false" ht="15" hidden="false" customHeight="false" outlineLevel="0" collapsed="false">
      <c r="A210" s="26" t="s">
        <v>184</v>
      </c>
      <c r="B210" s="36" t="s">
        <v>62</v>
      </c>
      <c r="D210" s="40" t="n">
        <f aca="false">IF(D207=0,0,D209/D207)</f>
        <v>0.531522497704316</v>
      </c>
      <c r="E210" s="40" t="n">
        <f aca="false">IF(E207=0,0,E209/E207)</f>
        <v>0.57574096487558</v>
      </c>
      <c r="F210" s="40" t="n">
        <f aca="false">IF(F207=0,0,F209/F207)</f>
        <v>0.60770146712855</v>
      </c>
      <c r="G210" s="40" t="n">
        <f aca="false">IF(G207=0,0,G209/G207)</f>
        <v>0.619020301468064</v>
      </c>
      <c r="H210" s="40" t="n">
        <f aca="false">IF(H207=0,0,H209/H207)</f>
        <v>0.615929765405875</v>
      </c>
      <c r="I210" s="40" t="n">
        <f aca="false">IF(I207=0,0,I209/I207)</f>
        <v>0.61807821258076</v>
      </c>
      <c r="J210" s="40" t="n">
        <f aca="false">IF(J207=0,0,J209/J207)</f>
        <v>0.614797893667437</v>
      </c>
      <c r="K210" s="40" t="n">
        <f aca="false">IF(K207=0,0,K209/K207)</f>
        <v>0.611401877980099</v>
      </c>
      <c r="L210" s="40" t="n">
        <f aca="false">IF(L207=0,0,L209/L207)</f>
        <v>0.607890748005994</v>
      </c>
      <c r="M210" s="40" t="n">
        <f aca="false">IF(M207=0,0,M209/M207)</f>
        <v>0.604264996992895</v>
      </c>
    </row>
    <row r="211" customFormat="false" ht="15" hidden="false" customHeight="false" outlineLevel="0" collapsed="false">
      <c r="A211" s="26" t="s">
        <v>185</v>
      </c>
      <c r="B211" s="36" t="s">
        <v>55</v>
      </c>
      <c r="D211" s="37" t="n">
        <f aca="false">D192</f>
        <v>42.48</v>
      </c>
      <c r="E211" s="37" t="n">
        <f aca="false">E192</f>
        <v>42.48</v>
      </c>
      <c r="F211" s="37" t="n">
        <f aca="false">F192</f>
        <v>42.48</v>
      </c>
      <c r="G211" s="37" t="n">
        <f aca="false">G192</f>
        <v>42.48</v>
      </c>
      <c r="H211" s="37" t="n">
        <f aca="false">H192</f>
        <v>42.48</v>
      </c>
      <c r="I211" s="37" t="n">
        <f aca="false">I192</f>
        <v>38.08</v>
      </c>
      <c r="J211" s="37" t="n">
        <f aca="false">J192</f>
        <v>38.08</v>
      </c>
      <c r="K211" s="37" t="n">
        <f aca="false">K192</f>
        <v>38.08</v>
      </c>
      <c r="L211" s="37" t="n">
        <f aca="false">L192</f>
        <v>38.08</v>
      </c>
      <c r="M211" s="37" t="n">
        <f aca="false">M192</f>
        <v>38.08</v>
      </c>
    </row>
    <row r="212" customFormat="false" ht="15" hidden="false" customHeight="false" outlineLevel="0" collapsed="false">
      <c r="A212" s="9" t="s">
        <v>186</v>
      </c>
      <c r="B212" s="36" t="s">
        <v>55</v>
      </c>
      <c r="D212" s="43" t="n">
        <f aca="false">D209-D211</f>
        <v>44.3442</v>
      </c>
      <c r="E212" s="43" t="n">
        <f aca="false">E209-E211</f>
        <v>73.112665</v>
      </c>
      <c r="F212" s="43" t="n">
        <f aca="false">F209-F211</f>
        <v>103.93132675</v>
      </c>
      <c r="G212" s="43" t="n">
        <f aca="false">G209-G211</f>
        <v>122.964123808</v>
      </c>
      <c r="H212" s="43" t="n">
        <f aca="false">H209-H211</f>
        <v>128.72284832032</v>
      </c>
      <c r="I212" s="43" t="n">
        <f aca="false">I209-I211</f>
        <v>145.058829044594</v>
      </c>
      <c r="J212" s="43" t="n">
        <f aca="false">J209-J211</f>
        <v>151.373532927842</v>
      </c>
      <c r="K212" s="43" t="n">
        <f aca="false">K209-K211</f>
        <v>157.863312258796</v>
      </c>
      <c r="L212" s="43" t="n">
        <f aca="false">L209-L211</f>
        <v>164.530780541362</v>
      </c>
      <c r="M212" s="43" t="n">
        <f aca="false">M209-M211</f>
        <v>171.378405511184</v>
      </c>
    </row>
    <row r="213" customFormat="false" ht="15" hidden="false" customHeight="false" outlineLevel="0" collapsed="false">
      <c r="A213" s="26" t="s">
        <v>187</v>
      </c>
      <c r="B213" s="36" t="s">
        <v>55</v>
      </c>
      <c r="D213" s="37" t="n">
        <f aca="false">D203</f>
        <v>48.63285</v>
      </c>
      <c r="E213" s="37" t="n">
        <f aca="false">E203</f>
        <v>48.63285</v>
      </c>
      <c r="F213" s="37" t="n">
        <f aca="false">F203</f>
        <v>48.63285</v>
      </c>
      <c r="G213" s="37" t="n">
        <f aca="false">G203</f>
        <v>41.6853</v>
      </c>
      <c r="H213" s="37" t="n">
        <f aca="false">H203</f>
        <v>34.73775</v>
      </c>
      <c r="I213" s="37" t="n">
        <f aca="false">I203</f>
        <v>27.7902</v>
      </c>
      <c r="J213" s="37" t="n">
        <f aca="false">J203</f>
        <v>20.84265</v>
      </c>
      <c r="K213" s="37" t="n">
        <f aca="false">K203</f>
        <v>13.8951</v>
      </c>
      <c r="L213" s="37" t="n">
        <f aca="false">L203</f>
        <v>6.94755</v>
      </c>
      <c r="M213" s="37" t="n">
        <f aca="false">M203</f>
        <v>0</v>
      </c>
    </row>
    <row r="214" customFormat="false" ht="15" hidden="false" customHeight="false" outlineLevel="0" collapsed="false">
      <c r="A214" s="9" t="s">
        <v>188</v>
      </c>
      <c r="B214" s="36" t="s">
        <v>55</v>
      </c>
      <c r="D214" s="38" t="n">
        <f aca="false">D212-D213</f>
        <v>-4.28865000000001</v>
      </c>
      <c r="E214" s="38" t="n">
        <f aca="false">E212-E213</f>
        <v>24.479815</v>
      </c>
      <c r="F214" s="38" t="n">
        <f aca="false">F212-F213</f>
        <v>55.29847675</v>
      </c>
      <c r="G214" s="38" t="n">
        <f aca="false">G212-G213</f>
        <v>81.278823808</v>
      </c>
      <c r="H214" s="38" t="n">
        <f aca="false">H212-H213</f>
        <v>93.9850983203201</v>
      </c>
      <c r="I214" s="38" t="n">
        <f aca="false">I212-I213</f>
        <v>117.268629044594</v>
      </c>
      <c r="J214" s="38" t="n">
        <f aca="false">J212-J213</f>
        <v>130.530882927842</v>
      </c>
      <c r="K214" s="38" t="n">
        <f aca="false">K212-K213</f>
        <v>143.968212258796</v>
      </c>
      <c r="L214" s="38" t="n">
        <f aca="false">L212-L213</f>
        <v>157.583230541362</v>
      </c>
      <c r="M214" s="38" t="n">
        <f aca="false">M212-M213</f>
        <v>171.378405511184</v>
      </c>
    </row>
    <row r="215" customFormat="false" ht="15" hidden="false" customHeight="false" outlineLevel="0" collapsed="false">
      <c r="A215" s="26" t="s">
        <v>189</v>
      </c>
      <c r="B215" s="36" t="s">
        <v>55</v>
      </c>
      <c r="D215" s="37" t="n">
        <f aca="false">0</f>
        <v>0</v>
      </c>
      <c r="E215" s="37" t="n">
        <f aca="false">D217</f>
        <v>4.28865000000001</v>
      </c>
      <c r="F215" s="37" t="n">
        <f aca="false">E217</f>
        <v>0</v>
      </c>
      <c r="G215" s="37" t="n">
        <f aca="false">F217</f>
        <v>0</v>
      </c>
      <c r="H215" s="37" t="n">
        <f aca="false">G217</f>
        <v>0</v>
      </c>
      <c r="I215" s="37" t="n">
        <f aca="false">H217</f>
        <v>0</v>
      </c>
      <c r="J215" s="37" t="n">
        <f aca="false">I217</f>
        <v>0</v>
      </c>
      <c r="K215" s="37" t="n">
        <f aca="false">J217</f>
        <v>0</v>
      </c>
      <c r="L215" s="37" t="n">
        <f aca="false">K217</f>
        <v>0</v>
      </c>
      <c r="M215" s="37" t="n">
        <f aca="false">L217</f>
        <v>0</v>
      </c>
    </row>
    <row r="216" customFormat="false" ht="15" hidden="false" customHeight="false" outlineLevel="0" collapsed="false">
      <c r="A216" s="26" t="s">
        <v>190</v>
      </c>
      <c r="B216" s="36" t="s">
        <v>55</v>
      </c>
      <c r="D216" s="37" t="n">
        <f aca="false">MAX(0,D214-D215)</f>
        <v>0</v>
      </c>
      <c r="E216" s="37" t="n">
        <f aca="false">MAX(0,E214-E215)</f>
        <v>20.191165</v>
      </c>
      <c r="F216" s="37" t="n">
        <f aca="false">MAX(0,F214-F215)</f>
        <v>55.29847675</v>
      </c>
      <c r="G216" s="37" t="n">
        <f aca="false">MAX(0,G214-G215)</f>
        <v>81.278823808</v>
      </c>
      <c r="H216" s="37" t="n">
        <f aca="false">MAX(0,H214-H215)</f>
        <v>93.9850983203201</v>
      </c>
      <c r="I216" s="37" t="n">
        <f aca="false">MAX(0,I214-I215)</f>
        <v>117.268629044594</v>
      </c>
      <c r="J216" s="37" t="n">
        <f aca="false">MAX(0,J214-J215)</f>
        <v>130.530882927842</v>
      </c>
      <c r="K216" s="37" t="n">
        <f aca="false">MAX(0,K214-K215)</f>
        <v>143.968212258796</v>
      </c>
      <c r="L216" s="37" t="n">
        <f aca="false">MAX(0,L214-L215)</f>
        <v>157.583230541362</v>
      </c>
      <c r="M216" s="37" t="n">
        <f aca="false">MAX(0,M214-M215)</f>
        <v>171.378405511184</v>
      </c>
    </row>
    <row r="217" customFormat="false" ht="15" hidden="false" customHeight="false" outlineLevel="0" collapsed="false">
      <c r="A217" s="26" t="s">
        <v>191</v>
      </c>
      <c r="B217" s="36" t="s">
        <v>55</v>
      </c>
      <c r="D217" s="37" t="n">
        <f aca="false">MAX(0,D215-D214)</f>
        <v>4.28865000000001</v>
      </c>
      <c r="E217" s="37" t="n">
        <f aca="false">MAX(0,E215-E214)</f>
        <v>0</v>
      </c>
      <c r="F217" s="37" t="n">
        <f aca="false">MAX(0,F215-F214)</f>
        <v>0</v>
      </c>
      <c r="G217" s="37" t="n">
        <f aca="false">MAX(0,G215-G214)</f>
        <v>0</v>
      </c>
      <c r="H217" s="37" t="n">
        <f aca="false">MAX(0,H215-H214)</f>
        <v>0</v>
      </c>
      <c r="I217" s="37" t="n">
        <f aca="false">MAX(0,I215-I214)</f>
        <v>0</v>
      </c>
      <c r="J217" s="37" t="n">
        <f aca="false">MAX(0,J215-J214)</f>
        <v>0</v>
      </c>
      <c r="K217" s="37" t="n">
        <f aca="false">MAX(0,K215-K214)</f>
        <v>0</v>
      </c>
      <c r="L217" s="37" t="n">
        <f aca="false">MAX(0,L215-L214)</f>
        <v>0</v>
      </c>
      <c r="M217" s="37" t="n">
        <f aca="false">MAX(0,M215-M214)</f>
        <v>0</v>
      </c>
    </row>
    <row r="218" customFormat="false" ht="15" hidden="false" customHeight="false" outlineLevel="0" collapsed="false">
      <c r="A218" s="26" t="s">
        <v>192</v>
      </c>
      <c r="B218" s="36" t="s">
        <v>55</v>
      </c>
      <c r="D218" s="37" t="n">
        <f aca="false">D216*Inputs!$C$44</f>
        <v>0</v>
      </c>
      <c r="E218" s="37" t="n">
        <f aca="false">E216*Inputs!$C$44</f>
        <v>5.0821162305</v>
      </c>
      <c r="F218" s="37" t="n">
        <f aca="false">F216*Inputs!$C$44</f>
        <v>13.918626597975</v>
      </c>
      <c r="G218" s="37" t="n">
        <f aca="false">G216*Inputs!$C$44</f>
        <v>20.4578799524736</v>
      </c>
      <c r="H218" s="37" t="n">
        <f aca="false">H216*Inputs!$C$44</f>
        <v>23.6560492472246</v>
      </c>
      <c r="I218" s="37" t="n">
        <f aca="false">I216*Inputs!$C$44</f>
        <v>29.5165139305242</v>
      </c>
      <c r="J218" s="37" t="n">
        <f aca="false">J216*Inputs!$C$44</f>
        <v>32.8546232329377</v>
      </c>
      <c r="K218" s="37" t="n">
        <f aca="false">K216*Inputs!$C$44</f>
        <v>36.2367990255389</v>
      </c>
      <c r="L218" s="37" t="n">
        <f aca="false">L216*Inputs!$C$44</f>
        <v>39.6636991272608</v>
      </c>
      <c r="M218" s="37" t="n">
        <f aca="false">M216*Inputs!$C$44</f>
        <v>43.135944667165</v>
      </c>
    </row>
    <row r="219" customFormat="false" ht="15" hidden="false" customHeight="false" outlineLevel="0" collapsed="false">
      <c r="A219" s="9" t="s">
        <v>193</v>
      </c>
      <c r="B219" s="36" t="s">
        <v>55</v>
      </c>
      <c r="D219" s="38" t="n">
        <f aca="false">D214-D218</f>
        <v>-4.28865000000001</v>
      </c>
      <c r="E219" s="38" t="n">
        <f aca="false">E214-E218</f>
        <v>19.3976987695</v>
      </c>
      <c r="F219" s="38" t="n">
        <f aca="false">F214-F218</f>
        <v>41.379850152025</v>
      </c>
      <c r="G219" s="38" t="n">
        <f aca="false">G214-G218</f>
        <v>60.8209438555264</v>
      </c>
      <c r="H219" s="38" t="n">
        <f aca="false">H214-H218</f>
        <v>70.3290490730955</v>
      </c>
      <c r="I219" s="38" t="n">
        <f aca="false">I214-I218</f>
        <v>87.7521151140694</v>
      </c>
      <c r="J219" s="38" t="n">
        <f aca="false">J214-J218</f>
        <v>97.6762596949038</v>
      </c>
      <c r="K219" s="38" t="n">
        <f aca="false">K214-K218</f>
        <v>107.731413233257</v>
      </c>
      <c r="L219" s="38" t="n">
        <f aca="false">L214-L218</f>
        <v>117.919531414101</v>
      </c>
      <c r="M219" s="38" t="n">
        <f aca="false">M214-M218</f>
        <v>128.242460844019</v>
      </c>
    </row>
    <row r="220" customFormat="false" ht="15" hidden="false" customHeight="false" outlineLevel="0" collapsed="false">
      <c r="A220" s="24" t="s">
        <v>276</v>
      </c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</row>
    <row r="221" customFormat="false" ht="15" hidden="false" customHeight="false" outlineLevel="0" collapsed="false">
      <c r="A221" s="26" t="s">
        <v>193</v>
      </c>
      <c r="B221" s="36" t="s">
        <v>55</v>
      </c>
      <c r="C221" s="37" t="n">
        <f aca="false">0</f>
        <v>0</v>
      </c>
      <c r="D221" s="37" t="n">
        <f aca="false">D219</f>
        <v>-4.28865000000001</v>
      </c>
      <c r="E221" s="37" t="n">
        <f aca="false">E219</f>
        <v>19.3976987695</v>
      </c>
      <c r="F221" s="37" t="n">
        <f aca="false">F219</f>
        <v>41.379850152025</v>
      </c>
      <c r="G221" s="37" t="n">
        <f aca="false">G219</f>
        <v>60.8209438555264</v>
      </c>
      <c r="H221" s="37" t="n">
        <f aca="false">H219</f>
        <v>70.3290490730955</v>
      </c>
      <c r="I221" s="37" t="n">
        <f aca="false">I219</f>
        <v>87.7521151140694</v>
      </c>
      <c r="J221" s="37" t="n">
        <f aca="false">J219</f>
        <v>97.6762596949038</v>
      </c>
      <c r="K221" s="37" t="n">
        <f aca="false">K219</f>
        <v>107.731413233257</v>
      </c>
      <c r="L221" s="37" t="n">
        <f aca="false">L219</f>
        <v>117.919531414101</v>
      </c>
      <c r="M221" s="37" t="n">
        <f aca="false">M219</f>
        <v>128.242460844019</v>
      </c>
    </row>
    <row r="222" customFormat="false" ht="15" hidden="false" customHeight="false" outlineLevel="0" collapsed="false">
      <c r="A222" s="26" t="s">
        <v>196</v>
      </c>
      <c r="B222" s="36" t="s">
        <v>55</v>
      </c>
      <c r="C222" s="37" t="n">
        <f aca="false">0</f>
        <v>0</v>
      </c>
      <c r="D222" s="37" t="n">
        <f aca="false">D192</f>
        <v>42.48</v>
      </c>
      <c r="E222" s="37" t="n">
        <f aca="false">E192</f>
        <v>42.48</v>
      </c>
      <c r="F222" s="37" t="n">
        <f aca="false">F192</f>
        <v>42.48</v>
      </c>
      <c r="G222" s="37" t="n">
        <f aca="false">G192</f>
        <v>42.48</v>
      </c>
      <c r="H222" s="37" t="n">
        <f aca="false">H192</f>
        <v>42.48</v>
      </c>
      <c r="I222" s="37" t="n">
        <f aca="false">I192</f>
        <v>38.08</v>
      </c>
      <c r="J222" s="37" t="n">
        <f aca="false">J192</f>
        <v>38.08</v>
      </c>
      <c r="K222" s="37" t="n">
        <f aca="false">K192</f>
        <v>38.08</v>
      </c>
      <c r="L222" s="37" t="n">
        <f aca="false">L192</f>
        <v>38.08</v>
      </c>
      <c r="M222" s="37" t="n">
        <f aca="false">M192</f>
        <v>38.08</v>
      </c>
    </row>
    <row r="223" customFormat="false" ht="15" hidden="false" customHeight="false" outlineLevel="0" collapsed="false">
      <c r="A223" s="26" t="s">
        <v>197</v>
      </c>
      <c r="B223" s="36" t="s">
        <v>55</v>
      </c>
      <c r="C223" s="37" t="n">
        <f aca="false">0</f>
        <v>0</v>
      </c>
      <c r="D223" s="37" t="n">
        <f aca="false">-(D196-C196)</f>
        <v>-20.1390410958904</v>
      </c>
      <c r="E223" s="37" t="n">
        <f aca="false">-(E196-D196)</f>
        <v>-4.61367123287672</v>
      </c>
      <c r="F223" s="37" t="n">
        <f aca="false">-(F196-E196)</f>
        <v>-4.95054246575342</v>
      </c>
      <c r="G223" s="37" t="n">
        <f aca="false">-(G196-F196)</f>
        <v>-3.24755585753425</v>
      </c>
      <c r="H223" s="37" t="n">
        <f aca="false">-(H196-G196)</f>
        <v>-1.3180324260822</v>
      </c>
      <c r="I223" s="37" t="n">
        <f aca="false">-(I196-H196)</f>
        <v>-2.26174364315703</v>
      </c>
      <c r="J223" s="37" t="n">
        <f aca="false">-(J196-I196)</f>
        <v>-1.46122346885177</v>
      </c>
      <c r="K223" s="37" t="n">
        <f aca="false">-(K196-J196)</f>
        <v>-1.51967240760584</v>
      </c>
      <c r="L223" s="37" t="n">
        <f aca="false">-(L196-K196)</f>
        <v>-1.58045930391006</v>
      </c>
      <c r="M223" s="37" t="n">
        <f aca="false">-(M196-L196)</f>
        <v>-1.64367767606647</v>
      </c>
    </row>
    <row r="224" customFormat="false" ht="15" hidden="false" customHeight="false" outlineLevel="0" collapsed="false">
      <c r="A224" s="26" t="s">
        <v>198</v>
      </c>
      <c r="B224" s="36" t="s">
        <v>55</v>
      </c>
      <c r="C224" s="37" t="n">
        <f aca="false">0</f>
        <v>0</v>
      </c>
      <c r="D224" s="37" t="n">
        <f aca="false">D197-C197</f>
        <v>6.28979178082192</v>
      </c>
      <c r="E224" s="37" t="n">
        <f aca="false">E197-D197</f>
        <v>0.711249452054795</v>
      </c>
      <c r="F224" s="37" t="n">
        <f aca="false">F197-E197</f>
        <v>0.767320952054793</v>
      </c>
      <c r="G224" s="37" t="n">
        <f aca="false">G197-F197</f>
        <v>0.60069775413699</v>
      </c>
      <c r="H224" s="37" t="n">
        <f aca="false">H197-G197</f>
        <v>0.405368461124382</v>
      </c>
      <c r="I224" s="37" t="n">
        <f aca="false">I197-H197</f>
        <v>0.526789583853894</v>
      </c>
      <c r="J224" s="37" t="n">
        <f aca="false">J197-I197</f>
        <v>0.455132221707286</v>
      </c>
      <c r="K224" s="37" t="n">
        <f aca="false">K197-J197</f>
        <v>0.479708418051475</v>
      </c>
      <c r="L224" s="37" t="n">
        <f aca="false">L197-K197</f>
        <v>0.50562844422228</v>
      </c>
      <c r="M224" s="37" t="n">
        <f aca="false">M197-L197</f>
        <v>0.532966626707351</v>
      </c>
    </row>
    <row r="225" customFormat="false" ht="15" hidden="false" customHeight="false" outlineLevel="0" collapsed="false">
      <c r="A225" s="9" t="s">
        <v>199</v>
      </c>
      <c r="B225" s="36" t="s">
        <v>55</v>
      </c>
      <c r="C225" s="38" t="n">
        <f aca="false">SUM(C221:C224)</f>
        <v>0</v>
      </c>
      <c r="D225" s="38" t="n">
        <f aca="false">SUM(D221:D224)</f>
        <v>24.3421006849315</v>
      </c>
      <c r="E225" s="38" t="n">
        <f aca="false">SUM(E221:E224)</f>
        <v>57.9752769886781</v>
      </c>
      <c r="F225" s="38" t="n">
        <f aca="false">SUM(F221:F224)</f>
        <v>79.6766286383264</v>
      </c>
      <c r="G225" s="38" t="n">
        <f aca="false">SUM(G221:G224)</f>
        <v>100.654085752129</v>
      </c>
      <c r="H225" s="38" t="n">
        <f aca="false">SUM(H221:H224)</f>
        <v>111.896385108138</v>
      </c>
      <c r="I225" s="38" t="n">
        <f aca="false">SUM(I221:I224)</f>
        <v>124.097161054766</v>
      </c>
      <c r="J225" s="38" t="n">
        <f aca="false">SUM(J221:J224)</f>
        <v>134.750168447759</v>
      </c>
      <c r="K225" s="38" t="n">
        <f aca="false">SUM(K221:K224)</f>
        <v>144.771449243703</v>
      </c>
      <c r="L225" s="38" t="n">
        <f aca="false">SUM(L221:L224)</f>
        <v>154.924700554413</v>
      </c>
      <c r="M225" s="38" t="n">
        <f aca="false">SUM(M221:M224)</f>
        <v>165.21174979466</v>
      </c>
    </row>
    <row r="226" customFormat="false" ht="15" hidden="false" customHeight="false" outlineLevel="0" collapsed="false">
      <c r="A226" s="26" t="s">
        <v>200</v>
      </c>
      <c r="B226" s="36" t="s">
        <v>55</v>
      </c>
      <c r="C226" s="37" t="n">
        <f aca="false">-C153</f>
        <v>-753.95</v>
      </c>
      <c r="D226" s="37" t="n">
        <f aca="false">0</f>
        <v>0</v>
      </c>
      <c r="E226" s="37" t="n">
        <f aca="false">0</f>
        <v>0</v>
      </c>
      <c r="F226" s="37" t="n">
        <f aca="false">0</f>
        <v>0</v>
      </c>
      <c r="G226" s="37" t="n">
        <f aca="false">0</f>
        <v>0</v>
      </c>
      <c r="H226" s="37" t="n">
        <f aca="false">0</f>
        <v>0</v>
      </c>
      <c r="I226" s="37" t="n">
        <f aca="false">0</f>
        <v>0</v>
      </c>
      <c r="J226" s="37" t="n">
        <f aca="false">0</f>
        <v>0</v>
      </c>
      <c r="K226" s="37" t="n">
        <f aca="false">0</f>
        <v>0</v>
      </c>
      <c r="L226" s="37" t="n">
        <f aca="false">0</f>
        <v>0</v>
      </c>
      <c r="M226" s="37" t="n">
        <f aca="false">0</f>
        <v>0</v>
      </c>
    </row>
    <row r="227" customFormat="false" ht="15" hidden="false" customHeight="false" outlineLevel="0" collapsed="false">
      <c r="A227" s="9" t="s">
        <v>201</v>
      </c>
      <c r="B227" s="36" t="s">
        <v>55</v>
      </c>
      <c r="C227" s="43" t="n">
        <f aca="false">C226</f>
        <v>-753.95</v>
      </c>
      <c r="D227" s="43" t="n">
        <f aca="false">D226</f>
        <v>0</v>
      </c>
      <c r="E227" s="43" t="n">
        <f aca="false">E226</f>
        <v>0</v>
      </c>
      <c r="F227" s="43" t="n">
        <f aca="false">F226</f>
        <v>0</v>
      </c>
      <c r="G227" s="43" t="n">
        <f aca="false">G226</f>
        <v>0</v>
      </c>
      <c r="H227" s="43" t="n">
        <f aca="false">H226</f>
        <v>0</v>
      </c>
      <c r="I227" s="43" t="n">
        <f aca="false">I226</f>
        <v>0</v>
      </c>
      <c r="J227" s="43" t="n">
        <f aca="false">J226</f>
        <v>0</v>
      </c>
      <c r="K227" s="43" t="n">
        <f aca="false">K226</f>
        <v>0</v>
      </c>
      <c r="L227" s="43" t="n">
        <f aca="false">L226</f>
        <v>0</v>
      </c>
      <c r="M227" s="43" t="n">
        <f aca="false">M226</f>
        <v>0</v>
      </c>
    </row>
    <row r="228" customFormat="false" ht="15" hidden="false" customHeight="false" outlineLevel="0" collapsed="false">
      <c r="A228" s="26" t="s">
        <v>202</v>
      </c>
      <c r="B228" s="36" t="s">
        <v>55</v>
      </c>
      <c r="C228" s="37" t="n">
        <f aca="false">C159</f>
        <v>308.78</v>
      </c>
      <c r="D228" s="37" t="n">
        <f aca="false">0</f>
        <v>0</v>
      </c>
      <c r="E228" s="37" t="n">
        <f aca="false">0</f>
        <v>0</v>
      </c>
      <c r="F228" s="37" t="n">
        <f aca="false">0</f>
        <v>0</v>
      </c>
      <c r="G228" s="37" t="n">
        <f aca="false">0</f>
        <v>0</v>
      </c>
      <c r="H228" s="37" t="n">
        <f aca="false">0</f>
        <v>0</v>
      </c>
      <c r="I228" s="37" t="n">
        <f aca="false">0</f>
        <v>0</v>
      </c>
      <c r="J228" s="37" t="n">
        <f aca="false">0</f>
        <v>0</v>
      </c>
      <c r="K228" s="37" t="n">
        <f aca="false">0</f>
        <v>0</v>
      </c>
      <c r="L228" s="37" t="n">
        <f aca="false">0</f>
        <v>0</v>
      </c>
      <c r="M228" s="37" t="n">
        <f aca="false">0</f>
        <v>0</v>
      </c>
    </row>
    <row r="229" customFormat="false" ht="15" hidden="false" customHeight="false" outlineLevel="0" collapsed="false">
      <c r="A229" s="26" t="s">
        <v>203</v>
      </c>
      <c r="B229" s="36" t="s">
        <v>55</v>
      </c>
      <c r="C229" s="37" t="n">
        <f aca="false">C201</f>
        <v>463.17</v>
      </c>
      <c r="D229" s="37" t="n">
        <f aca="false">D201</f>
        <v>0</v>
      </c>
      <c r="E229" s="37" t="n">
        <f aca="false">E201</f>
        <v>0</v>
      </c>
      <c r="F229" s="37" t="n">
        <f aca="false">F201</f>
        <v>0</v>
      </c>
      <c r="G229" s="37" t="n">
        <f aca="false">G201</f>
        <v>0</v>
      </c>
      <c r="H229" s="37" t="n">
        <f aca="false">H201</f>
        <v>0</v>
      </c>
      <c r="I229" s="37" t="n">
        <f aca="false">I201</f>
        <v>0</v>
      </c>
      <c r="J229" s="37" t="n">
        <f aca="false">J201</f>
        <v>0</v>
      </c>
      <c r="K229" s="37" t="n">
        <f aca="false">K201</f>
        <v>0</v>
      </c>
      <c r="L229" s="37" t="n">
        <f aca="false">L201</f>
        <v>0</v>
      </c>
      <c r="M229" s="37" t="n">
        <f aca="false">M201</f>
        <v>0</v>
      </c>
    </row>
    <row r="230" customFormat="false" ht="15" hidden="false" customHeight="false" outlineLevel="0" collapsed="false">
      <c r="A230" s="26" t="s">
        <v>204</v>
      </c>
      <c r="B230" s="36" t="s">
        <v>55</v>
      </c>
      <c r="C230" s="37" t="n">
        <f aca="false">-C204</f>
        <v>-0</v>
      </c>
      <c r="D230" s="37" t="n">
        <f aca="false">-D204</f>
        <v>-0</v>
      </c>
      <c r="E230" s="37" t="n">
        <f aca="false">-E204</f>
        <v>-0</v>
      </c>
      <c r="F230" s="37" t="n">
        <f aca="false">-F204</f>
        <v>-66.1671428571429</v>
      </c>
      <c r="G230" s="37" t="n">
        <f aca="false">-G204</f>
        <v>-66.1671428571429</v>
      </c>
      <c r="H230" s="37" t="n">
        <f aca="false">-H204</f>
        <v>-66.1671428571429</v>
      </c>
      <c r="I230" s="37" t="n">
        <f aca="false">-I204</f>
        <v>-66.1671428571429</v>
      </c>
      <c r="J230" s="37" t="n">
        <f aca="false">-J204</f>
        <v>-66.1671428571429</v>
      </c>
      <c r="K230" s="37" t="n">
        <f aca="false">-K204</f>
        <v>-66.1671428571429</v>
      </c>
      <c r="L230" s="37" t="n">
        <f aca="false">-L204</f>
        <v>-66.1671428571429</v>
      </c>
      <c r="M230" s="37" t="n">
        <f aca="false">-M204</f>
        <v>-0</v>
      </c>
    </row>
    <row r="231" customFormat="false" ht="15" hidden="false" customHeight="false" outlineLevel="0" collapsed="false">
      <c r="A231" s="9" t="s">
        <v>205</v>
      </c>
      <c r="B231" s="36" t="s">
        <v>55</v>
      </c>
      <c r="C231" s="38" t="n">
        <f aca="false">SUM(C228:C230)</f>
        <v>771.95</v>
      </c>
      <c r="D231" s="38" t="n">
        <f aca="false">SUM(D228:D230)</f>
        <v>0</v>
      </c>
      <c r="E231" s="38" t="n">
        <f aca="false">SUM(E228:E230)</f>
        <v>0</v>
      </c>
      <c r="F231" s="38" t="n">
        <f aca="false">SUM(F228:F230)</f>
        <v>-66.1671428571429</v>
      </c>
      <c r="G231" s="38" t="n">
        <f aca="false">SUM(G228:G230)</f>
        <v>-66.1671428571429</v>
      </c>
      <c r="H231" s="38" t="n">
        <f aca="false">SUM(H228:H230)</f>
        <v>-66.1671428571429</v>
      </c>
      <c r="I231" s="38" t="n">
        <f aca="false">SUM(I228:I230)</f>
        <v>-66.1671428571429</v>
      </c>
      <c r="J231" s="38" t="n">
        <f aca="false">SUM(J228:J230)</f>
        <v>-66.1671428571429</v>
      </c>
      <c r="K231" s="38" t="n">
        <f aca="false">SUM(K228:K230)</f>
        <v>-66.1671428571429</v>
      </c>
      <c r="L231" s="38" t="n">
        <f aca="false">SUM(L228:L230)</f>
        <v>-66.1671428571429</v>
      </c>
      <c r="M231" s="38" t="n">
        <f aca="false">SUM(M228:M230)</f>
        <v>0</v>
      </c>
    </row>
    <row r="232" customFormat="false" ht="15" hidden="false" customHeight="false" outlineLevel="0" collapsed="false">
      <c r="A232" s="9" t="s">
        <v>206</v>
      </c>
      <c r="B232" s="36" t="s">
        <v>55</v>
      </c>
      <c r="C232" s="43" t="n">
        <f aca="false">C225+C227+C231</f>
        <v>18</v>
      </c>
      <c r="D232" s="43" t="n">
        <f aca="false">D225+D227+D231</f>
        <v>24.3421006849315</v>
      </c>
      <c r="E232" s="43" t="n">
        <f aca="false">E225+E227+E231</f>
        <v>57.9752769886781</v>
      </c>
      <c r="F232" s="43" t="n">
        <f aca="false">F225+F227+F231</f>
        <v>13.5094857811835</v>
      </c>
      <c r="G232" s="43" t="n">
        <f aca="false">G225+G227+G231</f>
        <v>34.4869428949863</v>
      </c>
      <c r="H232" s="43" t="n">
        <f aca="false">H225+H227+H231</f>
        <v>45.7292422509948</v>
      </c>
      <c r="I232" s="43" t="n">
        <f aca="false">I225+I227+I231</f>
        <v>57.9300181976234</v>
      </c>
      <c r="J232" s="43" t="n">
        <f aca="false">J225+J227+J231</f>
        <v>68.5830255906165</v>
      </c>
      <c r="K232" s="43" t="n">
        <f aca="false">K225+K227+K231</f>
        <v>78.6043063865598</v>
      </c>
      <c r="L232" s="43" t="n">
        <f aca="false">L225+L227+L231</f>
        <v>88.7575576972706</v>
      </c>
      <c r="M232" s="43" t="n">
        <f aca="false">M225+M227+M231</f>
        <v>165.21174979466</v>
      </c>
    </row>
    <row r="233" customFormat="false" ht="15" hidden="false" customHeight="false" outlineLevel="0" collapsed="false">
      <c r="A233" s="26" t="s">
        <v>207</v>
      </c>
      <c r="B233" s="36" t="s">
        <v>55</v>
      </c>
      <c r="C233" s="37" t="n">
        <f aca="false">0</f>
        <v>0</v>
      </c>
      <c r="D233" s="37" t="n">
        <f aca="false">C234</f>
        <v>18</v>
      </c>
      <c r="E233" s="37" t="n">
        <f aca="false">D234</f>
        <v>42.3421006849315</v>
      </c>
      <c r="F233" s="37" t="n">
        <f aca="false">E234</f>
        <v>100.31737767361</v>
      </c>
      <c r="G233" s="37" t="n">
        <f aca="false">F234</f>
        <v>113.826863454793</v>
      </c>
      <c r="H233" s="37" t="n">
        <f aca="false">G234</f>
        <v>148.313806349779</v>
      </c>
      <c r="I233" s="37" t="n">
        <f aca="false">H234</f>
        <v>194.043048600774</v>
      </c>
      <c r="J233" s="37" t="n">
        <f aca="false">I234</f>
        <v>251.973066798398</v>
      </c>
      <c r="K233" s="37" t="n">
        <f aca="false">J234</f>
        <v>320.556092389014</v>
      </c>
      <c r="L233" s="37" t="n">
        <f aca="false">K234</f>
        <v>399.160398775574</v>
      </c>
      <c r="M233" s="37" t="n">
        <f aca="false">L234</f>
        <v>487.917956472844</v>
      </c>
    </row>
    <row r="234" customFormat="false" ht="15" hidden="false" customHeight="false" outlineLevel="0" collapsed="false">
      <c r="A234" s="9" t="s">
        <v>28</v>
      </c>
      <c r="B234" s="36" t="s">
        <v>55</v>
      </c>
      <c r="C234" s="38" t="n">
        <f aca="false">C233+C232</f>
        <v>18</v>
      </c>
      <c r="D234" s="38" t="n">
        <f aca="false">D233+D232</f>
        <v>42.3421006849315</v>
      </c>
      <c r="E234" s="38" t="n">
        <f aca="false">E233+E232</f>
        <v>100.31737767361</v>
      </c>
      <c r="F234" s="38" t="n">
        <f aca="false">F233+F232</f>
        <v>113.826863454793</v>
      </c>
      <c r="G234" s="38" t="n">
        <f aca="false">G233+G232</f>
        <v>148.313806349779</v>
      </c>
      <c r="H234" s="38" t="n">
        <f aca="false">H233+H232</f>
        <v>194.043048600774</v>
      </c>
      <c r="I234" s="38" t="n">
        <f aca="false">I233+I232</f>
        <v>251.973066798398</v>
      </c>
      <c r="J234" s="38" t="n">
        <f aca="false">J233+J232</f>
        <v>320.556092389014</v>
      </c>
      <c r="K234" s="38" t="n">
        <f aca="false">K233+K232</f>
        <v>399.160398775574</v>
      </c>
      <c r="L234" s="38" t="n">
        <f aca="false">L233+L232</f>
        <v>487.917956472844</v>
      </c>
      <c r="M234" s="38" t="n">
        <f aca="false">M233+M232</f>
        <v>653.129706267504</v>
      </c>
    </row>
    <row r="235" customFormat="false" ht="15" hidden="false" customHeight="false" outlineLevel="0" collapsed="false">
      <c r="A235" s="24" t="s">
        <v>277</v>
      </c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</row>
    <row r="236" customFormat="false" ht="15" hidden="false" customHeight="false" outlineLevel="0" collapsed="false">
      <c r="A236" s="26" t="s">
        <v>210</v>
      </c>
      <c r="B236" s="36" t="s">
        <v>55</v>
      </c>
      <c r="C236" s="37" t="n">
        <f aca="false">C193</f>
        <v>753.95</v>
      </c>
      <c r="D236" s="37" t="n">
        <f aca="false">D193</f>
        <v>711.47</v>
      </c>
      <c r="E236" s="37" t="n">
        <f aca="false">E193</f>
        <v>668.99</v>
      </c>
      <c r="F236" s="37" t="n">
        <f aca="false">F193</f>
        <v>626.51</v>
      </c>
      <c r="G236" s="37" t="n">
        <f aca="false">G193</f>
        <v>584.03</v>
      </c>
      <c r="H236" s="37" t="n">
        <f aca="false">H193</f>
        <v>541.55</v>
      </c>
      <c r="I236" s="37" t="n">
        <f aca="false">I193</f>
        <v>503.47</v>
      </c>
      <c r="J236" s="37" t="n">
        <f aca="false">J193</f>
        <v>465.39</v>
      </c>
      <c r="K236" s="37" t="n">
        <f aca="false">K193</f>
        <v>427.31</v>
      </c>
      <c r="L236" s="37" t="n">
        <f aca="false">L193</f>
        <v>389.23</v>
      </c>
      <c r="M236" s="37" t="n">
        <f aca="false">M193</f>
        <v>351.15</v>
      </c>
    </row>
    <row r="237" customFormat="false" ht="15" hidden="false" customHeight="false" outlineLevel="0" collapsed="false">
      <c r="A237" s="26" t="s">
        <v>171</v>
      </c>
      <c r="B237" s="36" t="s">
        <v>55</v>
      </c>
      <c r="C237" s="37" t="n">
        <f aca="false">C196</f>
        <v>0</v>
      </c>
      <c r="D237" s="37" t="n">
        <f aca="false">D196</f>
        <v>20.1390410958904</v>
      </c>
      <c r="E237" s="37" t="n">
        <f aca="false">E196</f>
        <v>24.7527123287671</v>
      </c>
      <c r="F237" s="37" t="n">
        <f aca="false">F196</f>
        <v>29.7032547945205</v>
      </c>
      <c r="G237" s="37" t="n">
        <f aca="false">G196</f>
        <v>32.9508106520548</v>
      </c>
      <c r="H237" s="37" t="n">
        <f aca="false">H196</f>
        <v>34.268843078137</v>
      </c>
      <c r="I237" s="37" t="n">
        <f aca="false">I196</f>
        <v>36.530586721294</v>
      </c>
      <c r="J237" s="37" t="n">
        <f aca="false">J196</f>
        <v>37.9918101901458</v>
      </c>
      <c r="K237" s="37" t="n">
        <f aca="false">K196</f>
        <v>39.5114825977516</v>
      </c>
      <c r="L237" s="37" t="n">
        <f aca="false">L196</f>
        <v>41.0919419016617</v>
      </c>
      <c r="M237" s="37" t="n">
        <f aca="false">M196</f>
        <v>42.7356195777282</v>
      </c>
    </row>
    <row r="238" customFormat="false" ht="15" hidden="false" customHeight="false" outlineLevel="0" collapsed="false">
      <c r="A238" s="26" t="s">
        <v>211</v>
      </c>
      <c r="B238" s="36" t="s">
        <v>55</v>
      </c>
      <c r="C238" s="37" t="n">
        <f aca="false">C234</f>
        <v>18</v>
      </c>
      <c r="D238" s="37" t="n">
        <f aca="false">D234</f>
        <v>42.3421006849315</v>
      </c>
      <c r="E238" s="37" t="n">
        <f aca="false">E234</f>
        <v>100.31737767361</v>
      </c>
      <c r="F238" s="37" t="n">
        <f aca="false">F234</f>
        <v>113.826863454793</v>
      </c>
      <c r="G238" s="37" t="n">
        <f aca="false">G234</f>
        <v>148.313806349779</v>
      </c>
      <c r="H238" s="37" t="n">
        <f aca="false">H234</f>
        <v>194.043048600774</v>
      </c>
      <c r="I238" s="37" t="n">
        <f aca="false">I234</f>
        <v>251.973066798398</v>
      </c>
      <c r="J238" s="37" t="n">
        <f aca="false">J234</f>
        <v>320.556092389014</v>
      </c>
      <c r="K238" s="37" t="n">
        <f aca="false">K234</f>
        <v>399.160398775574</v>
      </c>
      <c r="L238" s="37" t="n">
        <f aca="false">L234</f>
        <v>487.917956472844</v>
      </c>
      <c r="M238" s="37" t="n">
        <f aca="false">M234</f>
        <v>653.129706267504</v>
      </c>
    </row>
    <row r="239" customFormat="false" ht="15" hidden="false" customHeight="false" outlineLevel="0" collapsed="false">
      <c r="A239" s="9" t="s">
        <v>212</v>
      </c>
      <c r="B239" s="36" t="s">
        <v>55</v>
      </c>
      <c r="C239" s="38" t="n">
        <f aca="false">SUM(C236:C238)</f>
        <v>771.95</v>
      </c>
      <c r="D239" s="38" t="n">
        <f aca="false">SUM(D236:D238)</f>
        <v>773.951141780822</v>
      </c>
      <c r="E239" s="38" t="n">
        <f aca="false">SUM(E236:E238)</f>
        <v>794.060090002377</v>
      </c>
      <c r="F239" s="38" t="n">
        <f aca="false">SUM(F236:F238)</f>
        <v>770.040118249314</v>
      </c>
      <c r="G239" s="38" t="n">
        <f aca="false">SUM(G236:G238)</f>
        <v>765.294617001834</v>
      </c>
      <c r="H239" s="38" t="n">
        <f aca="false">SUM(H236:H238)</f>
        <v>769.861891678911</v>
      </c>
      <c r="I239" s="38" t="n">
        <f aca="false">SUM(I236:I238)</f>
        <v>791.973653519692</v>
      </c>
      <c r="J239" s="38" t="n">
        <f aca="false">SUM(J236:J238)</f>
        <v>823.93790257916</v>
      </c>
      <c r="K239" s="38" t="n">
        <f aca="false">SUM(K236:K238)</f>
        <v>865.981881373326</v>
      </c>
      <c r="L239" s="38" t="n">
        <f aca="false">SUM(L236:L238)</f>
        <v>918.239898374506</v>
      </c>
      <c r="M239" s="38" t="n">
        <f aca="false">SUM(M236:M238)</f>
        <v>1047.01532584523</v>
      </c>
    </row>
    <row r="240" customFormat="false" ht="15" hidden="false" customHeight="false" outlineLevel="0" collapsed="false">
      <c r="A240" s="26" t="s">
        <v>213</v>
      </c>
      <c r="B240" s="36" t="s">
        <v>55</v>
      </c>
      <c r="C240" s="37" t="n">
        <f aca="false">C228</f>
        <v>308.78</v>
      </c>
      <c r="D240" s="37" t="n">
        <f aca="false">C240+D228</f>
        <v>308.78</v>
      </c>
      <c r="E240" s="37" t="n">
        <f aca="false">D240+E228</f>
        <v>308.78</v>
      </c>
      <c r="F240" s="37" t="n">
        <f aca="false">E240+F228</f>
        <v>308.78</v>
      </c>
      <c r="G240" s="37" t="n">
        <f aca="false">F240+G228</f>
        <v>308.78</v>
      </c>
      <c r="H240" s="37" t="n">
        <f aca="false">G240+H228</f>
        <v>308.78</v>
      </c>
      <c r="I240" s="37" t="n">
        <f aca="false">H240+I228</f>
        <v>308.78</v>
      </c>
      <c r="J240" s="37" t="n">
        <f aca="false">I240+J228</f>
        <v>308.78</v>
      </c>
      <c r="K240" s="37" t="n">
        <f aca="false">J240+K228</f>
        <v>308.78</v>
      </c>
      <c r="L240" s="37" t="n">
        <f aca="false">K240+L228</f>
        <v>308.78</v>
      </c>
      <c r="M240" s="37" t="n">
        <f aca="false">L240+M228</f>
        <v>308.78</v>
      </c>
    </row>
    <row r="241" customFormat="false" ht="15" hidden="false" customHeight="false" outlineLevel="0" collapsed="false">
      <c r="A241" s="26" t="s">
        <v>214</v>
      </c>
      <c r="B241" s="36" t="s">
        <v>55</v>
      </c>
      <c r="C241" s="37" t="n">
        <f aca="false">C221</f>
        <v>0</v>
      </c>
      <c r="D241" s="37" t="n">
        <f aca="false">C241+D221</f>
        <v>-4.28865000000001</v>
      </c>
      <c r="E241" s="37" t="n">
        <f aca="false">D241+E221</f>
        <v>15.1090487695</v>
      </c>
      <c r="F241" s="37" t="n">
        <f aca="false">E241+F221</f>
        <v>56.488898921525</v>
      </c>
      <c r="G241" s="37" t="n">
        <f aca="false">F241+G221</f>
        <v>117.309842777051</v>
      </c>
      <c r="H241" s="37" t="n">
        <f aca="false">G241+H221</f>
        <v>187.638891850147</v>
      </c>
      <c r="I241" s="37" t="n">
        <f aca="false">H241+I221</f>
        <v>275.391006964216</v>
      </c>
      <c r="J241" s="37" t="n">
        <f aca="false">I241+J221</f>
        <v>373.06726665912</v>
      </c>
      <c r="K241" s="37" t="n">
        <f aca="false">J241+K221</f>
        <v>480.798679892377</v>
      </c>
      <c r="L241" s="37" t="n">
        <f aca="false">K241+L221</f>
        <v>598.718211306478</v>
      </c>
      <c r="M241" s="37" t="n">
        <f aca="false">L241+M221</f>
        <v>726.960672150497</v>
      </c>
    </row>
    <row r="242" customFormat="false" ht="15" hidden="false" customHeight="false" outlineLevel="0" collapsed="false">
      <c r="A242" s="26" t="s">
        <v>17</v>
      </c>
      <c r="B242" s="36" t="s">
        <v>55</v>
      </c>
      <c r="C242" s="37" t="n">
        <f aca="false">C205</f>
        <v>463.17</v>
      </c>
      <c r="D242" s="37" t="n">
        <f aca="false">D205</f>
        <v>463.17</v>
      </c>
      <c r="E242" s="37" t="n">
        <f aca="false">E205</f>
        <v>463.17</v>
      </c>
      <c r="F242" s="37" t="n">
        <f aca="false">F205</f>
        <v>397.002857142857</v>
      </c>
      <c r="G242" s="37" t="n">
        <f aca="false">G205</f>
        <v>330.835714285714</v>
      </c>
      <c r="H242" s="37" t="n">
        <f aca="false">H205</f>
        <v>264.668571428571</v>
      </c>
      <c r="I242" s="37" t="n">
        <f aca="false">I205</f>
        <v>198.501428571429</v>
      </c>
      <c r="J242" s="37" t="n">
        <f aca="false">J205</f>
        <v>132.334285714286</v>
      </c>
      <c r="K242" s="37" t="n">
        <f aca="false">K205</f>
        <v>66.1671428571429</v>
      </c>
      <c r="L242" s="37" t="n">
        <f aca="false">L205</f>
        <v>0</v>
      </c>
      <c r="M242" s="37" t="n">
        <f aca="false">M205</f>
        <v>0</v>
      </c>
    </row>
    <row r="243" customFormat="false" ht="15" hidden="false" customHeight="false" outlineLevel="0" collapsed="false">
      <c r="A243" s="26" t="s">
        <v>172</v>
      </c>
      <c r="B243" s="36" t="s">
        <v>55</v>
      </c>
      <c r="C243" s="37" t="n">
        <f aca="false">C197</f>
        <v>0</v>
      </c>
      <c r="D243" s="37" t="n">
        <f aca="false">D197</f>
        <v>6.28979178082192</v>
      </c>
      <c r="E243" s="37" t="n">
        <f aca="false">E197</f>
        <v>7.00104123287671</v>
      </c>
      <c r="F243" s="37" t="n">
        <f aca="false">F197</f>
        <v>7.76836218493151</v>
      </c>
      <c r="G243" s="37" t="n">
        <f aca="false">G197</f>
        <v>8.3690599390685</v>
      </c>
      <c r="H243" s="37" t="n">
        <f aca="false">H197</f>
        <v>8.77442840019288</v>
      </c>
      <c r="I243" s="37" t="n">
        <f aca="false">I197</f>
        <v>9.30121798404677</v>
      </c>
      <c r="J243" s="37" t="n">
        <f aca="false">J197</f>
        <v>9.75635020575406</v>
      </c>
      <c r="K243" s="37" t="n">
        <f aca="false">K197</f>
        <v>10.2360586238055</v>
      </c>
      <c r="L243" s="37" t="n">
        <f aca="false">L197</f>
        <v>10.7416870680278</v>
      </c>
      <c r="M243" s="37" t="n">
        <f aca="false">M197</f>
        <v>11.2746536947352</v>
      </c>
    </row>
    <row r="244" customFormat="false" ht="15" hidden="false" customHeight="false" outlineLevel="0" collapsed="false">
      <c r="A244" s="9" t="s">
        <v>215</v>
      </c>
      <c r="B244" s="36" t="s">
        <v>55</v>
      </c>
      <c r="C244" s="38" t="n">
        <f aca="false">SUM(C240:C243)</f>
        <v>771.95</v>
      </c>
      <c r="D244" s="38" t="n">
        <f aca="false">SUM(D240:D243)</f>
        <v>773.951141780822</v>
      </c>
      <c r="E244" s="38" t="n">
        <f aca="false">SUM(E240:E243)</f>
        <v>794.060090002377</v>
      </c>
      <c r="F244" s="38" t="n">
        <f aca="false">SUM(F240:F243)</f>
        <v>770.040118249314</v>
      </c>
      <c r="G244" s="38" t="n">
        <f aca="false">SUM(G240:G243)</f>
        <v>765.294617001834</v>
      </c>
      <c r="H244" s="38" t="n">
        <f aca="false">SUM(H240:H243)</f>
        <v>769.861891678911</v>
      </c>
      <c r="I244" s="38" t="n">
        <f aca="false">SUM(I240:I243)</f>
        <v>791.973653519692</v>
      </c>
      <c r="J244" s="38" t="n">
        <f aca="false">SUM(J240:J243)</f>
        <v>823.93790257916</v>
      </c>
      <c r="K244" s="38" t="n">
        <f aca="false">SUM(K240:K243)</f>
        <v>865.981881373326</v>
      </c>
      <c r="L244" s="38" t="n">
        <f aca="false">SUM(L240:L243)</f>
        <v>918.239898374506</v>
      </c>
      <c r="M244" s="38" t="n">
        <f aca="false">SUM(M240:M243)</f>
        <v>1047.01532584523</v>
      </c>
    </row>
    <row r="245" customFormat="false" ht="15" hidden="false" customHeight="false" outlineLevel="0" collapsed="false">
      <c r="A245" s="26" t="s">
        <v>216</v>
      </c>
      <c r="B245" s="36" t="s">
        <v>55</v>
      </c>
      <c r="C245" s="37" t="n">
        <f aca="false">ROUND(C239-C244,6)</f>
        <v>0</v>
      </c>
      <c r="D245" s="37" t="n">
        <f aca="false">ROUND(D239-D244,6)</f>
        <v>0</v>
      </c>
      <c r="E245" s="37" t="n">
        <f aca="false">ROUND(E239-E244,6)</f>
        <v>0</v>
      </c>
      <c r="F245" s="37" t="n">
        <f aca="false">ROUND(F239-F244,6)</f>
        <v>0</v>
      </c>
      <c r="G245" s="37" t="n">
        <f aca="false">ROUND(G239-G244,6)</f>
        <v>0</v>
      </c>
      <c r="H245" s="37" t="n">
        <f aca="false">ROUND(H239-H244,6)</f>
        <v>0</v>
      </c>
      <c r="I245" s="37" t="n">
        <f aca="false">ROUND(I239-I244,6)</f>
        <v>0</v>
      </c>
      <c r="J245" s="37" t="n">
        <f aca="false">ROUND(J239-J244,6)</f>
        <v>0</v>
      </c>
      <c r="K245" s="37" t="n">
        <f aca="false">ROUND(K239-K244,6)</f>
        <v>0</v>
      </c>
      <c r="L245" s="37" t="n">
        <f aca="false">ROUND(L239-L244,6)</f>
        <v>0</v>
      </c>
      <c r="M245" s="37" t="n">
        <f aca="false">ROUND(M239-M244,6)</f>
        <v>0</v>
      </c>
    </row>
    <row r="246" customFormat="false" ht="15" hidden="false" customHeight="false" outlineLevel="0" collapsed="false">
      <c r="A246" s="24" t="s">
        <v>278</v>
      </c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</row>
    <row r="247" customFormat="false" ht="15" hidden="false" customHeight="false" outlineLevel="0" collapsed="false">
      <c r="A247" s="26" t="s">
        <v>219</v>
      </c>
      <c r="B247" s="36" t="s">
        <v>55</v>
      </c>
      <c r="D247" s="37" t="n">
        <f aca="false">D219+D192+D203</f>
        <v>86.8242</v>
      </c>
      <c r="E247" s="37" t="n">
        <f aca="false">E219+E192+E203</f>
        <v>110.5105487695</v>
      </c>
      <c r="F247" s="37" t="n">
        <f aca="false">F219+F192+F203</f>
        <v>132.492700152025</v>
      </c>
      <c r="G247" s="37" t="n">
        <f aca="false">G219+G192+G203</f>
        <v>144.986243855526</v>
      </c>
      <c r="H247" s="37" t="n">
        <f aca="false">H219+H192+H203</f>
        <v>147.546799073095</v>
      </c>
      <c r="I247" s="37" t="n">
        <f aca="false">I219+I192+I203</f>
        <v>153.622315114069</v>
      </c>
      <c r="J247" s="37" t="n">
        <f aca="false">J219+J192+J203</f>
        <v>156.598909694904</v>
      </c>
      <c r="K247" s="37" t="n">
        <f aca="false">K219+K192+K203</f>
        <v>159.706513233257</v>
      </c>
      <c r="L247" s="37" t="n">
        <f aca="false">L219+L192+L203</f>
        <v>162.947081414101</v>
      </c>
      <c r="M247" s="37" t="n">
        <f aca="false">M219+M192+M203</f>
        <v>166.322460844019</v>
      </c>
    </row>
    <row r="248" customFormat="false" ht="15" hidden="false" customHeight="false" outlineLevel="0" collapsed="false">
      <c r="A248" s="26" t="s">
        <v>220</v>
      </c>
      <c r="B248" s="36" t="s">
        <v>55</v>
      </c>
      <c r="D248" s="37" t="n">
        <f aca="false">D203+D204</f>
        <v>48.63285</v>
      </c>
      <c r="E248" s="37" t="n">
        <f aca="false">E203+E204</f>
        <v>48.63285</v>
      </c>
      <c r="F248" s="37" t="n">
        <f aca="false">F203+F204</f>
        <v>114.799992857143</v>
      </c>
      <c r="G248" s="37" t="n">
        <f aca="false">G203+G204</f>
        <v>107.852442857143</v>
      </c>
      <c r="H248" s="37" t="n">
        <f aca="false">H203+H204</f>
        <v>100.904892857143</v>
      </c>
      <c r="I248" s="37" t="n">
        <f aca="false">I203+I204</f>
        <v>93.9573428571429</v>
      </c>
      <c r="J248" s="37" t="n">
        <f aca="false">J203+J204</f>
        <v>87.0097928571429</v>
      </c>
      <c r="K248" s="37" t="n">
        <f aca="false">K203+K204</f>
        <v>80.0622428571429</v>
      </c>
      <c r="L248" s="37" t="n">
        <f aca="false">L203+L204</f>
        <v>73.1146928571429</v>
      </c>
      <c r="M248" s="37" t="n">
        <f aca="false">M203+M204</f>
        <v>0</v>
      </c>
    </row>
    <row r="249" customFormat="false" ht="15" hidden="false" customHeight="false" outlineLevel="0" collapsed="false">
      <c r="A249" s="26" t="s">
        <v>24</v>
      </c>
      <c r="B249" s="36" t="s">
        <v>104</v>
      </c>
      <c r="D249" s="39" t="n">
        <f aca="false">IF(D248&gt;0,D247/D248,"")</f>
        <v>1.78529944266067</v>
      </c>
      <c r="E249" s="39" t="n">
        <f aca="false">IF(E248&gt;0,E247/E248,"")</f>
        <v>2.27234366831267</v>
      </c>
      <c r="F249" s="39" t="n">
        <f aca="false">IF(F248&gt;0,F247/F248,"")</f>
        <v>1.15411766895229</v>
      </c>
      <c r="G249" s="39" t="n">
        <f aca="false">IF(G248&gt;0,G247/G248,"")</f>
        <v>1.34430190002807</v>
      </c>
      <c r="H249" s="39" t="n">
        <f aca="false">IF(H248&gt;0,H247/H248,"")</f>
        <v>1.46223631872823</v>
      </c>
      <c r="I249" s="39" t="n">
        <f aca="false">IF(I248&gt;0,I247/I248,"")</f>
        <v>1.63502191997537</v>
      </c>
      <c r="J249" s="39" t="n">
        <f aca="false">IF(J248&gt;0,J247/J248,"")</f>
        <v>1.7997848811342</v>
      </c>
      <c r="K249" s="39" t="n">
        <f aca="false">IF(K248&gt;0,K247/K248,"")</f>
        <v>1.99477940579588</v>
      </c>
      <c r="L249" s="39" t="n">
        <f aca="false">IF(L248&gt;0,L247/L248,"")</f>
        <v>2.22865028965491</v>
      </c>
      <c r="M249" s="39" t="str">
        <f aca="false">IF(M248&gt;0,M247/M248,"")</f>
        <v/>
      </c>
    </row>
    <row r="250" customFormat="false" ht="15" hidden="false" customHeight="false" outlineLevel="0" collapsed="false">
      <c r="A250" s="9" t="s">
        <v>221</v>
      </c>
      <c r="B250" s="36" t="s">
        <v>104</v>
      </c>
      <c r="C250" s="44" t="n">
        <f aca="false">MIN(D249:M249)</f>
        <v>1.15411766895229</v>
      </c>
    </row>
    <row r="251" customFormat="false" ht="15" hidden="false" customHeight="false" outlineLevel="0" collapsed="false">
      <c r="A251" s="9" t="s">
        <v>222</v>
      </c>
      <c r="B251" s="36" t="s">
        <v>104</v>
      </c>
      <c r="C251" s="44" t="n">
        <f aca="false">AVERAGE(D249:M249)</f>
        <v>1.74183727724914</v>
      </c>
    </row>
    <row r="253" customFormat="false" ht="15" hidden="false" customHeight="false" outlineLevel="0" collapsed="false">
      <c r="A253" s="24" t="s">
        <v>223</v>
      </c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</row>
    <row r="254" customFormat="false" ht="15" hidden="false" customHeight="false" outlineLevel="0" collapsed="false">
      <c r="A254" s="26" t="s">
        <v>224</v>
      </c>
      <c r="B254" s="36" t="s">
        <v>55</v>
      </c>
      <c r="D254" s="37" t="n">
        <f aca="false">MAX(0,D212)*Inputs!$C$44</f>
        <v>11.16143514</v>
      </c>
      <c r="E254" s="37" t="n">
        <f aca="false">MAX(0,E212)*Inputs!$C$44</f>
        <v>18.4024577805</v>
      </c>
      <c r="F254" s="37" t="n">
        <f aca="false">MAX(0,F212)*Inputs!$C$44</f>
        <v>26.159514942975</v>
      </c>
      <c r="G254" s="37" t="n">
        <f aca="false">MAX(0,G212)*Inputs!$C$44</f>
        <v>30.9500699624736</v>
      </c>
      <c r="H254" s="37" t="n">
        <f aca="false">MAX(0,H212)*Inputs!$C$44</f>
        <v>32.3995409222246</v>
      </c>
      <c r="I254" s="37" t="n">
        <f aca="false">MAX(0,I212)*Inputs!$C$44</f>
        <v>36.5113072705242</v>
      </c>
      <c r="J254" s="37" t="n">
        <f aca="false">MAX(0,J212)*Inputs!$C$44</f>
        <v>38.1007182379377</v>
      </c>
      <c r="K254" s="37" t="n">
        <f aca="false">MAX(0,K212)*Inputs!$C$44</f>
        <v>39.7341956955389</v>
      </c>
      <c r="L254" s="37" t="n">
        <f aca="false">MAX(0,L212)*Inputs!$C$44</f>
        <v>41.4123974622608</v>
      </c>
      <c r="M254" s="37" t="n">
        <f aca="false">MAX(0,M212)*Inputs!$C$44</f>
        <v>43.135944667165</v>
      </c>
    </row>
    <row r="255" customFormat="false" ht="15" hidden="false" customHeight="false" outlineLevel="0" collapsed="false">
      <c r="A255" s="26" t="s">
        <v>225</v>
      </c>
      <c r="B255" s="36" t="s">
        <v>55</v>
      </c>
      <c r="D255" s="37" t="n">
        <f aca="false">D198-C198</f>
        <v>13.8492493150685</v>
      </c>
      <c r="E255" s="37" t="n">
        <f aca="false">E198-D198</f>
        <v>3.90242178082192</v>
      </c>
      <c r="F255" s="37" t="n">
        <f aca="false">F198-E198</f>
        <v>4.18322151369863</v>
      </c>
      <c r="G255" s="37" t="n">
        <f aca="false">G198-F198</f>
        <v>2.64685810339726</v>
      </c>
      <c r="H255" s="37" t="n">
        <f aca="false">H198-G198</f>
        <v>0.912663964957822</v>
      </c>
      <c r="I255" s="37" t="n">
        <f aca="false">I198-H198</f>
        <v>1.73495405930313</v>
      </c>
      <c r="J255" s="37" t="n">
        <f aca="false">J198-I198</f>
        <v>1.00609124714448</v>
      </c>
      <c r="K255" s="37" t="n">
        <f aca="false">K198-J198</f>
        <v>1.03996398955437</v>
      </c>
      <c r="L255" s="37" t="n">
        <f aca="false">L198-K198</f>
        <v>1.07483085968778</v>
      </c>
      <c r="M255" s="37" t="n">
        <f aca="false">M198-L198</f>
        <v>1.11071104935912</v>
      </c>
    </row>
    <row r="256" customFormat="false" ht="15" hidden="false" customHeight="false" outlineLevel="0" collapsed="false">
      <c r="A256" s="26" t="s">
        <v>226</v>
      </c>
      <c r="B256" s="36" t="s">
        <v>55</v>
      </c>
      <c r="D256" s="37" t="n">
        <f aca="false">0</f>
        <v>0</v>
      </c>
      <c r="E256" s="37" t="n">
        <f aca="false">0</f>
        <v>0</v>
      </c>
      <c r="F256" s="37" t="n">
        <f aca="false">0</f>
        <v>0</v>
      </c>
      <c r="G256" s="37" t="n">
        <f aca="false">0</f>
        <v>0</v>
      </c>
      <c r="H256" s="37" t="n">
        <f aca="false">0</f>
        <v>0</v>
      </c>
      <c r="I256" s="37" t="n">
        <f aca="false">0</f>
        <v>0</v>
      </c>
      <c r="J256" s="37" t="n">
        <f aca="false">0</f>
        <v>0</v>
      </c>
      <c r="K256" s="37" t="n">
        <f aca="false">0</f>
        <v>0</v>
      </c>
      <c r="L256" s="37" t="n">
        <f aca="false">0</f>
        <v>0</v>
      </c>
      <c r="M256" s="37" t="n">
        <f aca="false">M193*Inputs!$C$52+M198</f>
        <v>207.035965882993</v>
      </c>
    </row>
    <row r="257" customFormat="false" ht="15" hidden="false" customHeight="false" outlineLevel="0" collapsed="false">
      <c r="A257" s="9" t="s">
        <v>227</v>
      </c>
      <c r="B257" s="36" t="s">
        <v>55</v>
      </c>
      <c r="C257" s="38" t="n">
        <f aca="false">-C153</f>
        <v>-753.95</v>
      </c>
      <c r="D257" s="38" t="n">
        <f aca="false">D186-D254-D255+D256</f>
        <v>61.8135155449315</v>
      </c>
      <c r="E257" s="38" t="n">
        <f aca="false">E186-E254-E255+E256</f>
        <v>93.2877854386781</v>
      </c>
      <c r="F257" s="38" t="n">
        <f aca="false">F186-F254-F255+F256</f>
        <v>116.068590293326</v>
      </c>
      <c r="G257" s="38" t="n">
        <f aca="false">G186-G254-G255+G256</f>
        <v>131.847195742129</v>
      </c>
      <c r="H257" s="38" t="n">
        <f aca="false">H186-H254-H255+H256</f>
        <v>137.890643433138</v>
      </c>
      <c r="I257" s="38" t="n">
        <f aca="false">I186-I254-I255+I256</f>
        <v>144.892567714766</v>
      </c>
      <c r="J257" s="38" t="n">
        <f aca="false">J186-J254-J255+J256</f>
        <v>150.346723442759</v>
      </c>
      <c r="K257" s="38" t="n">
        <f aca="false">K186-K254-K255+K256</f>
        <v>155.169152573703</v>
      </c>
      <c r="L257" s="38" t="n">
        <f aca="false">L186-L254-L255+L256</f>
        <v>160.123552219413</v>
      </c>
      <c r="M257" s="38" t="n">
        <f aca="false">M186-M254-M255+M256</f>
        <v>372.247715677653</v>
      </c>
    </row>
    <row r="258" customFormat="false" ht="15" hidden="false" customHeight="false" outlineLevel="0" collapsed="false">
      <c r="A258" s="26" t="s">
        <v>228</v>
      </c>
      <c r="B258" s="36" t="s">
        <v>55</v>
      </c>
      <c r="C258" s="37" t="n">
        <f aca="false">C257</f>
        <v>-753.95</v>
      </c>
      <c r="D258" s="37" t="n">
        <f aca="false">C258+D257</f>
        <v>-692.136484455069</v>
      </c>
      <c r="E258" s="37" t="n">
        <f aca="false">D258+E257</f>
        <v>-598.848699016391</v>
      </c>
      <c r="F258" s="37" t="n">
        <f aca="false">E258+F257</f>
        <v>-482.780108723064</v>
      </c>
      <c r="G258" s="37" t="n">
        <f aca="false">F258+G257</f>
        <v>-350.932912980935</v>
      </c>
      <c r="H258" s="37" t="n">
        <f aca="false">G258+H257</f>
        <v>-213.042269547797</v>
      </c>
      <c r="I258" s="37" t="n">
        <f aca="false">H258+I257</f>
        <v>-68.149701833031</v>
      </c>
      <c r="J258" s="37" t="n">
        <f aca="false">I258+J257</f>
        <v>82.1970216097284</v>
      </c>
      <c r="K258" s="37" t="n">
        <f aca="false">J258+K257</f>
        <v>237.366174183431</v>
      </c>
      <c r="L258" s="37" t="n">
        <f aca="false">K258+L257</f>
        <v>397.489726402844</v>
      </c>
      <c r="M258" s="37" t="n">
        <f aca="false">L258+M257</f>
        <v>769.737442080497</v>
      </c>
    </row>
    <row r="259" customFormat="false" ht="15" hidden="false" customHeight="false" outlineLevel="0" collapsed="false">
      <c r="A259" s="26" t="s">
        <v>229</v>
      </c>
      <c r="B259" s="36" t="s">
        <v>55</v>
      </c>
      <c r="C259" s="37" t="n">
        <f aca="false">C257/(1+Inputs!$C$50)^Inputs!C$6</f>
        <v>-753.95</v>
      </c>
      <c r="D259" s="37" t="n">
        <f aca="false">D257/(1+Inputs!$C$50)^Inputs!D$6</f>
        <v>55.6878518422806</v>
      </c>
      <c r="E259" s="37" t="n">
        <f aca="false">E257/(1+Inputs!$C$50)^Inputs!E$6</f>
        <v>75.7144594096892</v>
      </c>
      <c r="F259" s="37" t="n">
        <f aca="false">F257/(1+Inputs!$C$50)^Inputs!F$6</f>
        <v>84.8683528622314</v>
      </c>
      <c r="G259" s="37" t="n">
        <f aca="false">G257/(1+Inputs!$C$50)^Inputs!G$6</f>
        <v>86.8518316894993</v>
      </c>
      <c r="H259" s="37" t="n">
        <f aca="false">H257/(1+Inputs!$C$50)^Inputs!H$6</f>
        <v>81.8313854722447</v>
      </c>
      <c r="I259" s="37" t="n">
        <f aca="false">I257/(1+Inputs!$C$50)^Inputs!I$6</f>
        <v>77.4654835460745</v>
      </c>
      <c r="J259" s="37" t="n">
        <f aca="false">J257/(1+Inputs!$C$50)^Inputs!J$6</f>
        <v>72.4157638960785</v>
      </c>
      <c r="K259" s="37" t="n">
        <f aca="false">K257/(1+Inputs!$C$50)^Inputs!K$6</f>
        <v>67.3320067098398</v>
      </c>
      <c r="L259" s="37" t="n">
        <f aca="false">L257/(1+Inputs!$C$50)^Inputs!L$6</f>
        <v>62.5962630534804</v>
      </c>
      <c r="M259" s="37" t="n">
        <f aca="false">M257/(1+Inputs!$C$50)^Inputs!M$6</f>
        <v>131.09986772092</v>
      </c>
    </row>
    <row r="260" customFormat="false" ht="15" hidden="false" customHeight="false" outlineLevel="0" collapsed="false">
      <c r="A260" s="26" t="s">
        <v>230</v>
      </c>
      <c r="B260" s="36" t="s">
        <v>55</v>
      </c>
      <c r="C260" s="37" t="n">
        <f aca="false">C259</f>
        <v>-753.95</v>
      </c>
      <c r="D260" s="37" t="n">
        <f aca="false">C260+D259</f>
        <v>-698.262148157719</v>
      </c>
      <c r="E260" s="37" t="n">
        <f aca="false">D260+E259</f>
        <v>-622.54768874803</v>
      </c>
      <c r="F260" s="37" t="n">
        <f aca="false">E260+F259</f>
        <v>-537.679335885799</v>
      </c>
      <c r="G260" s="37" t="n">
        <f aca="false">F260+G259</f>
        <v>-450.8275041963</v>
      </c>
      <c r="H260" s="37" t="n">
        <f aca="false">G260+H259</f>
        <v>-368.996118724055</v>
      </c>
      <c r="I260" s="37" t="n">
        <f aca="false">H260+I259</f>
        <v>-291.53063517798</v>
      </c>
      <c r="J260" s="37" t="n">
        <f aca="false">I260+J259</f>
        <v>-219.114871281902</v>
      </c>
      <c r="K260" s="37" t="n">
        <f aca="false">J260+K259</f>
        <v>-151.782864572062</v>
      </c>
      <c r="L260" s="37" t="n">
        <f aca="false">K260+L259</f>
        <v>-89.1866015185816</v>
      </c>
      <c r="M260" s="37" t="n">
        <f aca="false">L260+M259</f>
        <v>41.9132662023385</v>
      </c>
    </row>
    <row r="261" customFormat="false" ht="15" hidden="false" customHeight="false" outlineLevel="0" collapsed="false">
      <c r="A261" s="26" t="s">
        <v>231</v>
      </c>
      <c r="B261" s="36" t="s">
        <v>69</v>
      </c>
      <c r="D261" s="45" t="str">
        <f aca="false">IF(AND(C258&lt;0,D258&gt;=0),Inputs!D$6-1+(-C258)/D257,"")</f>
        <v/>
      </c>
      <c r="E261" s="45" t="str">
        <f aca="false">IF(AND(D258&lt;0,E258&gt;=0),Inputs!E$6-1+(-D258)/E257,"")</f>
        <v/>
      </c>
      <c r="F261" s="45" t="str">
        <f aca="false">IF(AND(E258&lt;0,F258&gt;=0),Inputs!F$6-1+(-E258)/F257,"")</f>
        <v/>
      </c>
      <c r="G261" s="45" t="str">
        <f aca="false">IF(AND(F258&lt;0,G258&gt;=0),Inputs!G$6-1+(-F258)/G257,"")</f>
        <v/>
      </c>
      <c r="H261" s="45" t="str">
        <f aca="false">IF(AND(G258&lt;0,H258&gt;=0),Inputs!H$6-1+(-G258)/H257,"")</f>
        <v/>
      </c>
      <c r="I261" s="45" t="str">
        <f aca="false">IF(AND(H258&lt;0,I258&gt;=0),Inputs!I$6-1+(-H258)/I257,"")</f>
        <v/>
      </c>
      <c r="J261" s="45" t="n">
        <f aca="false">IF(AND(I258&lt;0,J258&gt;=0),Inputs!J$6-1+(-I258)/J257,"")</f>
        <v>6.45328358525204</v>
      </c>
      <c r="K261" s="45" t="str">
        <f aca="false">IF(AND(J258&lt;0,K258&gt;=0),Inputs!K$6-1+(-J258)/K257,"")</f>
        <v/>
      </c>
      <c r="L261" s="45" t="str">
        <f aca="false">IF(AND(K258&lt;0,L258&gt;=0),Inputs!L$6-1+(-K258)/L257,"")</f>
        <v/>
      </c>
      <c r="M261" s="45" t="str">
        <f aca="false">IF(AND(L258&lt;0,M258&gt;=0),Inputs!M$6-1+(-L258)/M257,"")</f>
        <v/>
      </c>
    </row>
    <row r="262" customFormat="false" ht="15" hidden="false" customHeight="false" outlineLevel="0" collapsed="false">
      <c r="A262" s="26" t="s">
        <v>232</v>
      </c>
      <c r="B262" s="36" t="s">
        <v>69</v>
      </c>
      <c r="D262" s="45" t="str">
        <f aca="false">IF(AND(C260&lt;0,D260&gt;=0),Inputs!D$6-1+(-C260)/D259,"")</f>
        <v/>
      </c>
      <c r="E262" s="45" t="str">
        <f aca="false">IF(AND(D260&lt;0,E260&gt;=0),Inputs!E$6-1+(-D260)/E259,"")</f>
        <v/>
      </c>
      <c r="F262" s="45" t="str">
        <f aca="false">IF(AND(E260&lt;0,F260&gt;=0),Inputs!F$6-1+(-E260)/F259,"")</f>
        <v/>
      </c>
      <c r="G262" s="45" t="str">
        <f aca="false">IF(AND(F260&lt;0,G260&gt;=0),Inputs!G$6-1+(-F260)/G259,"")</f>
        <v/>
      </c>
      <c r="H262" s="45" t="str">
        <f aca="false">IF(AND(G260&lt;0,H260&gt;=0),Inputs!H$6-1+(-G260)/H259,"")</f>
        <v/>
      </c>
      <c r="I262" s="45" t="str">
        <f aca="false">IF(AND(H260&lt;0,I260&gt;=0),Inputs!I$6-1+(-H260)/I259,"")</f>
        <v/>
      </c>
      <c r="J262" s="45" t="str">
        <f aca="false">IF(AND(I260&lt;0,J260&gt;=0),Inputs!J$6-1+(-I260)/J259,"")</f>
        <v/>
      </c>
      <c r="K262" s="45" t="str">
        <f aca="false">IF(AND(J260&lt;0,K260&gt;=0),Inputs!K$6-1+(-J260)/K259,"")</f>
        <v/>
      </c>
      <c r="L262" s="45" t="str">
        <f aca="false">IF(AND(K260&lt;0,L260&gt;=0),Inputs!L$6-1+(-K260)/L259,"")</f>
        <v/>
      </c>
      <c r="M262" s="45" t="n">
        <f aca="false">IF(AND(L260&lt;0,M260&gt;=0),Inputs!M$6-1+(-L260)/M259,"")</f>
        <v>9.68029512972842</v>
      </c>
    </row>
    <row r="263" customFormat="false" ht="15" hidden="false" customHeight="false" outlineLevel="0" collapsed="false">
      <c r="A263" s="9" t="s">
        <v>233</v>
      </c>
      <c r="B263" s="36" t="s">
        <v>55</v>
      </c>
      <c r="C263" s="43" t="n">
        <f aca="false">NPV(Inputs!$C$50,D257:M257)+C257</f>
        <v>41.9132662023385</v>
      </c>
    </row>
    <row r="264" customFormat="false" ht="15" hidden="false" customHeight="false" outlineLevel="0" collapsed="false">
      <c r="A264" s="9" t="s">
        <v>23</v>
      </c>
      <c r="B264" s="36" t="s">
        <v>62</v>
      </c>
      <c r="C264" s="46" t="n">
        <f aca="false">IRR(C257:M257)</f>
        <v>0.120504834427527</v>
      </c>
    </row>
    <row r="265" customFormat="false" ht="15" hidden="false" customHeight="false" outlineLevel="0" collapsed="false">
      <c r="A265" s="9" t="s">
        <v>234</v>
      </c>
      <c r="B265" s="36" t="s">
        <v>104</v>
      </c>
      <c r="C265" s="44" t="n">
        <f aca="false">SUMIF(C259:M259,"&gt;0")/-SUMIF(C259:M259,"&lt;0")</f>
        <v>1.05559157265381</v>
      </c>
    </row>
    <row r="266" customFormat="false" ht="15" hidden="false" customHeight="false" outlineLevel="0" collapsed="false">
      <c r="A266" s="9" t="s">
        <v>235</v>
      </c>
      <c r="B266" s="36" t="s">
        <v>69</v>
      </c>
      <c r="C266" s="47" t="n">
        <f aca="false">IF(COUNT(D261:M261)=0,"Beyond Year 10",MIN(D261:M261))</f>
        <v>6.45328358525204</v>
      </c>
    </row>
    <row r="267" customFormat="false" ht="15" hidden="false" customHeight="false" outlineLevel="0" collapsed="false">
      <c r="A267" s="9" t="s">
        <v>35</v>
      </c>
      <c r="B267" s="36" t="s">
        <v>69</v>
      </c>
      <c r="C267" s="47" t="n">
        <f aca="false">IF(COUNT(D262:M262)=0,"Beyond Year 10",MIN(D262:M262))</f>
        <v>9.68029512972842</v>
      </c>
    </row>
    <row r="269" customFormat="false" ht="15" hidden="false" customHeight="false" outlineLevel="0" collapsed="false">
      <c r="A269" s="24" t="s">
        <v>236</v>
      </c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</row>
    <row r="270" customFormat="false" ht="15" hidden="false" customHeight="false" outlineLevel="0" collapsed="false">
      <c r="A270" s="9" t="s">
        <v>237</v>
      </c>
      <c r="B270" s="36" t="s">
        <v>55</v>
      </c>
      <c r="C270" s="43" t="n">
        <f aca="false">-C159</f>
        <v>-308.78</v>
      </c>
      <c r="D270" s="43" t="n">
        <f aca="false">D225-D204</f>
        <v>24.3421006849315</v>
      </c>
      <c r="E270" s="43" t="n">
        <f aca="false">E225-E204</f>
        <v>57.9752769886781</v>
      </c>
      <c r="F270" s="43" t="n">
        <f aca="false">F225-F204</f>
        <v>13.5094857811835</v>
      </c>
      <c r="G270" s="43" t="n">
        <f aca="false">G225-G204</f>
        <v>34.4869428949863</v>
      </c>
      <c r="H270" s="43" t="n">
        <f aca="false">H225-H204</f>
        <v>45.7292422509948</v>
      </c>
      <c r="I270" s="43" t="n">
        <f aca="false">I225-I204</f>
        <v>57.9300181976234</v>
      </c>
      <c r="J270" s="43" t="n">
        <f aca="false">J225-J204</f>
        <v>68.5830255906165</v>
      </c>
      <c r="K270" s="43" t="n">
        <f aca="false">K225-K204</f>
        <v>78.6043063865598</v>
      </c>
      <c r="L270" s="43" t="n">
        <f aca="false">L225-L204</f>
        <v>88.7575576972706</v>
      </c>
      <c r="M270" s="43" t="n">
        <f aca="false">M225-M204+C154+M193*Inputs!$C$52+M198</f>
        <v>390.247715677653</v>
      </c>
    </row>
    <row r="271" customFormat="false" ht="15" hidden="false" customHeight="false" outlineLevel="0" collapsed="false">
      <c r="A271" s="9" t="s">
        <v>238</v>
      </c>
      <c r="B271" s="36" t="s">
        <v>55</v>
      </c>
      <c r="C271" s="43" t="n">
        <f aca="false">NPV(Inputs!$C$51,D270:M270)+C270</f>
        <v>24.3871898147413</v>
      </c>
    </row>
    <row r="272" customFormat="false" ht="15" hidden="false" customHeight="false" outlineLevel="0" collapsed="false">
      <c r="A272" s="9" t="s">
        <v>27</v>
      </c>
      <c r="B272" s="36" t="s">
        <v>62</v>
      </c>
      <c r="C272" s="46" t="n">
        <f aca="false">IRR(C270:M270)</f>
        <v>0.153273840802179</v>
      </c>
    </row>
    <row r="274" customFormat="false" ht="15" hidden="false" customHeight="false" outlineLevel="0" collapsed="false">
      <c r="A274" s="24" t="s">
        <v>239</v>
      </c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</row>
    <row r="275" customFormat="false" ht="15" hidden="false" customHeight="false" outlineLevel="0" collapsed="false">
      <c r="A275" s="26" t="s">
        <v>240</v>
      </c>
      <c r="B275" s="36" t="s">
        <v>55</v>
      </c>
      <c r="D275" s="37" t="n">
        <f aca="false">D173-D184</f>
        <v>137.027</v>
      </c>
      <c r="E275" s="37" t="n">
        <f aca="false">E173-E184</f>
        <v>168.165465</v>
      </c>
      <c r="F275" s="37" t="n">
        <f aca="false">F173-F184</f>
        <v>201.49182675</v>
      </c>
      <c r="G275" s="37" t="n">
        <f aca="false">G173-G184</f>
        <v>223.178060808</v>
      </c>
      <c r="H275" s="37" t="n">
        <f aca="false">H173-H184</f>
        <v>231.74446729032</v>
      </c>
      <c r="I275" s="37" t="n">
        <f aca="false">I173-I184</f>
        <v>246.651381590294</v>
      </c>
      <c r="J275" s="37" t="n">
        <f aca="false">J173-J184</f>
        <v>256.109805285659</v>
      </c>
      <c r="K275" s="37" t="n">
        <f aca="false">K173-K184</f>
        <v>265.926184350426</v>
      </c>
      <c r="L275" s="37" t="n">
        <f aca="false">L173-L184</f>
        <v>276.113817920451</v>
      </c>
      <c r="M275" s="37" t="n">
        <f aca="false">M173-M184</f>
        <v>286.686486143077</v>
      </c>
    </row>
    <row r="276" customFormat="false" ht="15" hidden="false" customHeight="false" outlineLevel="0" collapsed="false">
      <c r="A276" s="26" t="s">
        <v>241</v>
      </c>
      <c r="B276" s="36" t="s">
        <v>62</v>
      </c>
      <c r="D276" s="40" t="n">
        <f aca="false">D168*(D185+D192+D203)/D275</f>
        <v>0.567213815525408</v>
      </c>
      <c r="E276" s="40" t="n">
        <f aca="false">E168*(E185+E192+E203)/E275</f>
        <v>0.555379622682933</v>
      </c>
      <c r="F276" s="40" t="n">
        <f aca="false">F168*(F185+F192+F203)/F275</f>
        <v>0.544166055112705</v>
      </c>
      <c r="G276" s="40" t="n">
        <f aca="false">G168*(G185+G192+G203)/G275</f>
        <v>0.508649412890368</v>
      </c>
      <c r="H276" s="40" t="n">
        <f aca="false">H168*(H185+H192+H203)/H275</f>
        <v>0.475556100495537</v>
      </c>
      <c r="I276" s="40" t="n">
        <f aca="false">I168*(I185+I192+I203)/I275</f>
        <v>0.430136885524136</v>
      </c>
      <c r="J276" s="40" t="n">
        <f aca="false">J168*(J185+J192+J203)/J275</f>
        <v>0.402072525956413</v>
      </c>
      <c r="K276" s="40" t="n">
        <f aca="false">K168*(K185+K192+K203)/K275</f>
        <v>0.376065024809116</v>
      </c>
      <c r="L276" s="40" t="n">
        <f aca="false">L168*(L185+L192+L203)/L275</f>
        <v>0.352010929343836</v>
      </c>
      <c r="M276" s="40" t="n">
        <f aca="false">M168*(M185+M192+M203)/M275</f>
        <v>0.329811939830898</v>
      </c>
    </row>
    <row r="277" customFormat="false" ht="15" hidden="false" customHeight="false" outlineLevel="0" collapsed="false">
      <c r="A277" s="26" t="s">
        <v>242</v>
      </c>
      <c r="B277" s="36" t="s">
        <v>62</v>
      </c>
      <c r="D277" s="40" t="n">
        <f aca="false">D168*(D185+D203+D204)/D275</f>
        <v>0.396707273019186</v>
      </c>
      <c r="E277" s="40" t="n">
        <f aca="false">E168*(E185+E203+E204)/E275</f>
        <v>0.391184197659133</v>
      </c>
      <c r="F277" s="40" t="n">
        <f aca="false">F168*(F185+F203+F204)/F275</f>
        <v>0.632335175564917</v>
      </c>
      <c r="G277" s="40" t="n">
        <f aca="false">G168*(G185+G203+G204)/G275</f>
        <v>0.593557912485302</v>
      </c>
      <c r="H277" s="40" t="n">
        <f aca="false">H168*(H185+H203+H204)/H275</f>
        <v>0.557325967570615</v>
      </c>
      <c r="I277" s="40" t="n">
        <f aca="false">I168*(I185+I203+I204)/I275</f>
        <v>0.523513443945828</v>
      </c>
      <c r="J277" s="40" t="n">
        <f aca="false">J168*(J185+J203+J204)/J275</f>
        <v>0.49200058285829</v>
      </c>
      <c r="K277" s="40" t="n">
        <f aca="false">K168*(K185+K203+K204)/K275</f>
        <v>0.462673484217187</v>
      </c>
      <c r="L277" s="40" t="n">
        <f aca="false">L168*(L185+L203+L204)/L275</f>
        <v>0.43542383970203</v>
      </c>
      <c r="M277" s="40" t="n">
        <f aca="false">M168*(M185+M203+M204)/M275</f>
        <v>0.220892958611755</v>
      </c>
    </row>
    <row r="278" customFormat="false" ht="15" hidden="false" customHeight="false" outlineLevel="0" collapsed="false">
      <c r="A278" s="9" t="s">
        <v>243</v>
      </c>
      <c r="B278" s="36" t="s">
        <v>62</v>
      </c>
      <c r="C278" s="46" t="n">
        <f aca="false">INDEX(D276:M276,Inputs!$C$54)</f>
        <v>0.508649412890368</v>
      </c>
    </row>
    <row r="279" customFormat="false" ht="15" hidden="false" customHeight="false" outlineLevel="0" collapsed="false">
      <c r="A279" s="9" t="s">
        <v>244</v>
      </c>
      <c r="B279" s="36" t="s">
        <v>62</v>
      </c>
      <c r="C279" s="46" t="n">
        <f aca="false">INDEX(D277:M277,Inputs!$C$54)</f>
        <v>0.593557912485302</v>
      </c>
    </row>
    <row r="282" customFormat="false" ht="15" hidden="false" customHeight="false" outlineLevel="0" collapsed="false">
      <c r="A282" s="24" t="s">
        <v>279</v>
      </c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</row>
    <row r="283" customFormat="false" ht="15" hidden="false" customHeight="false" outlineLevel="0" collapsed="false">
      <c r="A283" s="26" t="s">
        <v>54</v>
      </c>
      <c r="B283" s="36" t="s">
        <v>55</v>
      </c>
      <c r="C283" s="37" t="n">
        <f aca="false">Inputs!$C$10*(1+Inputs!$F$62)</f>
        <v>40</v>
      </c>
    </row>
    <row r="284" customFormat="false" ht="15" hidden="false" customHeight="false" outlineLevel="0" collapsed="false">
      <c r="A284" s="26" t="s">
        <v>56</v>
      </c>
      <c r="B284" s="36" t="s">
        <v>55</v>
      </c>
      <c r="C284" s="37" t="n">
        <f aca="false">Inputs!$C$11*(1+Inputs!$F$62)</f>
        <v>230</v>
      </c>
    </row>
    <row r="285" customFormat="false" ht="15" hidden="false" customHeight="false" outlineLevel="0" collapsed="false">
      <c r="A285" s="26" t="s">
        <v>57</v>
      </c>
      <c r="B285" s="36" t="s">
        <v>55</v>
      </c>
      <c r="C285" s="37" t="n">
        <f aca="false">Inputs!$C$12*(1+Inputs!$F$62)</f>
        <v>250</v>
      </c>
    </row>
    <row r="286" customFormat="false" ht="15" hidden="false" customHeight="false" outlineLevel="0" collapsed="false">
      <c r="A286" s="26" t="s">
        <v>58</v>
      </c>
      <c r="B286" s="36" t="s">
        <v>55</v>
      </c>
      <c r="C286" s="37" t="n">
        <f aca="false">Inputs!$C$13*(1+Inputs!$F$62)</f>
        <v>95</v>
      </c>
    </row>
    <row r="287" customFormat="false" ht="15" hidden="false" customHeight="false" outlineLevel="0" collapsed="false">
      <c r="A287" s="26" t="s">
        <v>59</v>
      </c>
      <c r="B287" s="36" t="s">
        <v>55</v>
      </c>
      <c r="C287" s="37" t="n">
        <f aca="false">Inputs!$C$14*(1+Inputs!$F$62)</f>
        <v>48</v>
      </c>
    </row>
    <row r="288" customFormat="false" ht="15" hidden="false" customHeight="false" outlineLevel="0" collapsed="false">
      <c r="A288" s="26" t="s">
        <v>60</v>
      </c>
      <c r="B288" s="36" t="s">
        <v>55</v>
      </c>
      <c r="C288" s="37" t="n">
        <f aca="false">Inputs!$C$15*(1+Inputs!$F$62)</f>
        <v>36</v>
      </c>
    </row>
    <row r="289" customFormat="false" ht="15" hidden="false" customHeight="false" outlineLevel="0" collapsed="false">
      <c r="A289" s="9" t="s">
        <v>137</v>
      </c>
      <c r="B289" s="36" t="s">
        <v>55</v>
      </c>
      <c r="C289" s="38" t="n">
        <f aca="false">SUM(C284:C288)</f>
        <v>659</v>
      </c>
    </row>
    <row r="290" customFormat="false" ht="15" hidden="false" customHeight="false" outlineLevel="0" collapsed="false">
      <c r="A290" s="26" t="s">
        <v>138</v>
      </c>
      <c r="B290" s="36" t="s">
        <v>55</v>
      </c>
      <c r="C290" s="37" t="n">
        <f aca="false">C289*Inputs!$C$16</f>
        <v>32.95</v>
      </c>
    </row>
    <row r="291" customFormat="false" ht="15" hidden="false" customHeight="false" outlineLevel="0" collapsed="false">
      <c r="A291" s="26" t="s">
        <v>63</v>
      </c>
      <c r="B291" s="36" t="s">
        <v>55</v>
      </c>
      <c r="C291" s="37" t="n">
        <f aca="false">Inputs!$C$17*(1+Inputs!$F$62)</f>
        <v>22</v>
      </c>
    </row>
    <row r="292" customFormat="false" ht="15" hidden="false" customHeight="false" outlineLevel="0" collapsed="false">
      <c r="A292" s="9" t="s">
        <v>139</v>
      </c>
      <c r="B292" s="36" t="s">
        <v>55</v>
      </c>
      <c r="C292" s="38" t="n">
        <f aca="false">C283+C289+C290+C291</f>
        <v>753.95</v>
      </c>
    </row>
    <row r="293" customFormat="false" ht="15" hidden="false" customHeight="false" outlineLevel="0" collapsed="false">
      <c r="A293" s="26" t="s">
        <v>64</v>
      </c>
      <c r="B293" s="36" t="s">
        <v>55</v>
      </c>
      <c r="C293" s="37" t="n">
        <f aca="false">Inputs!$C$18</f>
        <v>18</v>
      </c>
    </row>
    <row r="294" customFormat="false" ht="15" hidden="false" customHeight="false" outlineLevel="0" collapsed="false">
      <c r="A294" s="9" t="s">
        <v>15</v>
      </c>
      <c r="B294" s="36" t="s">
        <v>55</v>
      </c>
      <c r="C294" s="38" t="n">
        <f aca="false">C292+C293</f>
        <v>771.95</v>
      </c>
    </row>
    <row r="296" customFormat="false" ht="15" hidden="false" customHeight="false" outlineLevel="0" collapsed="false">
      <c r="A296" s="24" t="s">
        <v>65</v>
      </c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</row>
    <row r="297" customFormat="false" ht="15" hidden="false" customHeight="false" outlineLevel="0" collapsed="false">
      <c r="A297" s="26" t="s">
        <v>17</v>
      </c>
      <c r="B297" s="36" t="s">
        <v>55</v>
      </c>
      <c r="C297" s="37" t="n">
        <f aca="false">C294*Inputs!$C$20</f>
        <v>463.17</v>
      </c>
    </row>
    <row r="298" customFormat="false" ht="15" hidden="false" customHeight="false" outlineLevel="0" collapsed="false">
      <c r="A298" s="26" t="s">
        <v>19</v>
      </c>
      <c r="B298" s="36" t="s">
        <v>55</v>
      </c>
      <c r="C298" s="37" t="n">
        <f aca="false">C294-C297</f>
        <v>308.78</v>
      </c>
    </row>
    <row r="299" customFormat="false" ht="15" hidden="false" customHeight="false" outlineLevel="0" collapsed="false">
      <c r="A299" s="9" t="s">
        <v>140</v>
      </c>
      <c r="B299" s="36" t="s">
        <v>55</v>
      </c>
      <c r="C299" s="38" t="n">
        <f aca="false">C297+C298</f>
        <v>771.95</v>
      </c>
    </row>
    <row r="300" customFormat="false" ht="15" hidden="false" customHeight="false" outlineLevel="0" collapsed="false">
      <c r="A300" s="26" t="s">
        <v>21</v>
      </c>
      <c r="B300" s="36" t="s">
        <v>104</v>
      </c>
      <c r="C300" s="39" t="n">
        <f aca="false">C297/C298</f>
        <v>1.5</v>
      </c>
    </row>
    <row r="302" customFormat="false" ht="15" hidden="false" customHeight="false" outlineLevel="0" collapsed="false">
      <c r="A302" s="24" t="s">
        <v>141</v>
      </c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</row>
    <row r="303" customFormat="false" ht="15" hidden="false" customHeight="false" outlineLevel="0" collapsed="false">
      <c r="A303" s="26" t="s">
        <v>142</v>
      </c>
      <c r="B303" s="36" t="s">
        <v>55</v>
      </c>
      <c r="C303" s="37" t="n">
        <f aca="false">C284*(1+Inputs!$C$16)</f>
        <v>241.5</v>
      </c>
    </row>
    <row r="304" customFormat="false" ht="15" hidden="false" customHeight="false" outlineLevel="0" collapsed="false">
      <c r="A304" s="26" t="s">
        <v>143</v>
      </c>
      <c r="B304" s="36" t="s">
        <v>55</v>
      </c>
      <c r="C304" s="37" t="n">
        <f aca="false">C285+C286+C287+C288</f>
        <v>429</v>
      </c>
    </row>
    <row r="305" customFormat="false" ht="15" hidden="false" customHeight="false" outlineLevel="0" collapsed="false">
      <c r="A305" s="26" t="s">
        <v>144</v>
      </c>
      <c r="B305" s="36" t="s">
        <v>55</v>
      </c>
      <c r="C305" s="37" t="n">
        <f aca="false">C304*(1+Inputs!$C$16)</f>
        <v>450.45</v>
      </c>
    </row>
    <row r="306" customFormat="false" ht="15" hidden="false" customHeight="false" outlineLevel="0" collapsed="false">
      <c r="A306" s="24" t="s">
        <v>280</v>
      </c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</row>
    <row r="307" customFormat="false" ht="15" hidden="false" customHeight="false" outlineLevel="0" collapsed="false">
      <c r="A307" s="26" t="s">
        <v>147</v>
      </c>
      <c r="B307" s="36" t="s">
        <v>62</v>
      </c>
      <c r="D307" s="40" t="n">
        <f aca="false">MAX(0,MIN(1,Inputs!D$56+Inputs!$D$62))</f>
        <v>0.45</v>
      </c>
      <c r="E307" s="40" t="n">
        <f aca="false">MAX(0,MIN(1,Inputs!E$56+Inputs!$D$62))</f>
        <v>0.55</v>
      </c>
      <c r="F307" s="40" t="n">
        <f aca="false">MAX(0,MIN(1,Inputs!F$56+Inputs!$D$62))</f>
        <v>0.65</v>
      </c>
      <c r="G307" s="40" t="n">
        <f aca="false">MAX(0,MIN(1,Inputs!G$56+Inputs!$D$62))</f>
        <v>0.7</v>
      </c>
      <c r="H307" s="40" t="n">
        <f aca="false">MAX(0,MIN(1,Inputs!H$56+Inputs!$D$62))</f>
        <v>0.7</v>
      </c>
      <c r="I307" s="40" t="n">
        <f aca="false">MAX(0,MIN(1,Inputs!I$56+Inputs!$D$62))</f>
        <v>0.72</v>
      </c>
      <c r="J307" s="40" t="n">
        <f aca="false">MAX(0,MIN(1,Inputs!J$56+Inputs!$D$62))</f>
        <v>0.72</v>
      </c>
      <c r="K307" s="40" t="n">
        <f aca="false">MAX(0,MIN(1,Inputs!K$56+Inputs!$D$62))</f>
        <v>0.72</v>
      </c>
      <c r="L307" s="40" t="n">
        <f aca="false">MAX(0,MIN(1,Inputs!L$56+Inputs!$D$62))</f>
        <v>0.72</v>
      </c>
      <c r="M307" s="40" t="n">
        <f aca="false">MAX(0,MIN(1,Inputs!M$56+Inputs!$D$62))</f>
        <v>0.72</v>
      </c>
    </row>
    <row r="308" customFormat="false" ht="15" hidden="false" customHeight="false" outlineLevel="0" collapsed="false">
      <c r="A308" s="26" t="s">
        <v>148</v>
      </c>
      <c r="B308" s="36" t="s">
        <v>72</v>
      </c>
      <c r="D308" s="41" t="n">
        <f aca="false">Inputs!$C$25*D307</f>
        <v>2250</v>
      </c>
      <c r="E308" s="41" t="n">
        <f aca="false">Inputs!$C$25*E307</f>
        <v>2750</v>
      </c>
      <c r="F308" s="41" t="n">
        <f aca="false">Inputs!$C$25*F307</f>
        <v>3250</v>
      </c>
      <c r="G308" s="41" t="n">
        <f aca="false">Inputs!$C$25*G307</f>
        <v>3500</v>
      </c>
      <c r="H308" s="41" t="n">
        <f aca="false">Inputs!$C$25*H307</f>
        <v>3500</v>
      </c>
      <c r="I308" s="41" t="n">
        <f aca="false">Inputs!$C$25*I307</f>
        <v>3600</v>
      </c>
      <c r="J308" s="41" t="n">
        <f aca="false">Inputs!$C$25*J307</f>
        <v>3600</v>
      </c>
      <c r="K308" s="41" t="n">
        <f aca="false">Inputs!$C$25*K307</f>
        <v>3600</v>
      </c>
      <c r="L308" s="41" t="n">
        <f aca="false">Inputs!$C$25*L307</f>
        <v>3600</v>
      </c>
      <c r="M308" s="41" t="n">
        <f aca="false">Inputs!$C$25*M307</f>
        <v>3600</v>
      </c>
    </row>
    <row r="309" customFormat="false" ht="15" hidden="false" customHeight="false" outlineLevel="0" collapsed="false">
      <c r="A309" s="26" t="s">
        <v>149</v>
      </c>
      <c r="B309" s="36" t="s">
        <v>74</v>
      </c>
      <c r="D309" s="42" t="n">
        <f aca="false">Inputs!$C$26*(1+Inputs!$C$27)^(Inputs!D$6-1)*(1+Inputs!$C$62)</f>
        <v>6000</v>
      </c>
      <c r="E309" s="42" t="n">
        <f aca="false">Inputs!$C$26*(1+Inputs!$C$27)^(Inputs!E$6-1)*(1+Inputs!$C$62)</f>
        <v>6240</v>
      </c>
      <c r="F309" s="42" t="n">
        <f aca="false">Inputs!$C$26*(1+Inputs!$C$27)^(Inputs!F$6-1)*(1+Inputs!$C$62)</f>
        <v>6489.6</v>
      </c>
      <c r="G309" s="42" t="n">
        <f aca="false">Inputs!$C$26*(1+Inputs!$C$27)^(Inputs!G$6-1)*(1+Inputs!$C$62)</f>
        <v>6749.184</v>
      </c>
      <c r="H309" s="42" t="n">
        <f aca="false">Inputs!$C$26*(1+Inputs!$C$27)^(Inputs!H$6-1)*(1+Inputs!$C$62)</f>
        <v>7019.15136</v>
      </c>
      <c r="I309" s="42" t="n">
        <f aca="false">Inputs!$C$26*(1+Inputs!$C$27)^(Inputs!I$6-1)*(1+Inputs!$C$62)</f>
        <v>7299.9174144</v>
      </c>
      <c r="J309" s="42" t="n">
        <f aca="false">Inputs!$C$26*(1+Inputs!$C$27)^(Inputs!J$6-1)*(1+Inputs!$C$62)</f>
        <v>7591.914110976</v>
      </c>
      <c r="K309" s="42" t="n">
        <f aca="false">Inputs!$C$26*(1+Inputs!$C$27)^(Inputs!K$6-1)*(1+Inputs!$C$62)</f>
        <v>7895.59067541504</v>
      </c>
      <c r="L309" s="42" t="n">
        <f aca="false">Inputs!$C$26*(1+Inputs!$C$27)^(Inputs!L$6-1)*(1+Inputs!$C$62)</f>
        <v>8211.41430243164</v>
      </c>
      <c r="M309" s="42" t="n">
        <f aca="false">Inputs!$C$26*(1+Inputs!$C$27)^(Inputs!M$6-1)*(1+Inputs!$C$62)</f>
        <v>8539.87087452891</v>
      </c>
    </row>
    <row r="310" customFormat="false" ht="15" hidden="false" customHeight="false" outlineLevel="0" collapsed="false">
      <c r="A310" s="26" t="s">
        <v>150</v>
      </c>
      <c r="B310" s="36" t="s">
        <v>55</v>
      </c>
      <c r="D310" s="37" t="n">
        <f aca="false">D308*D309/Inputs!$C$48</f>
        <v>135</v>
      </c>
      <c r="E310" s="37" t="n">
        <f aca="false">E308*E309/Inputs!$C$48</f>
        <v>171.6</v>
      </c>
      <c r="F310" s="37" t="n">
        <f aca="false">F308*F309/Inputs!$C$48</f>
        <v>210.912</v>
      </c>
      <c r="G310" s="37" t="n">
        <f aca="false">G308*G309/Inputs!$C$48</f>
        <v>236.22144</v>
      </c>
      <c r="H310" s="37" t="n">
        <f aca="false">H308*H309/Inputs!$C$48</f>
        <v>245.6702976</v>
      </c>
      <c r="I310" s="37" t="n">
        <f aca="false">I308*I309/Inputs!$C$48</f>
        <v>262.7970269184</v>
      </c>
      <c r="J310" s="37" t="n">
        <f aca="false">J308*J309/Inputs!$C$48</f>
        <v>273.308907995136</v>
      </c>
      <c r="K310" s="37" t="n">
        <f aca="false">K308*K309/Inputs!$C$48</f>
        <v>284.241264314942</v>
      </c>
      <c r="L310" s="37" t="n">
        <f aca="false">L308*L309/Inputs!$C$48</f>
        <v>295.610914887539</v>
      </c>
      <c r="M310" s="37" t="n">
        <f aca="false">M308*M309/Inputs!$C$48</f>
        <v>307.435351483041</v>
      </c>
    </row>
    <row r="311" customFormat="false" ht="15" hidden="false" customHeight="false" outlineLevel="0" collapsed="false">
      <c r="A311" s="26" t="s">
        <v>151</v>
      </c>
      <c r="B311" s="36" t="s">
        <v>55</v>
      </c>
      <c r="D311" s="37" t="n">
        <f aca="false">D310*Inputs!$C$28</f>
        <v>13.5</v>
      </c>
      <c r="E311" s="37" t="n">
        <f aca="false">E310*Inputs!$C$28</f>
        <v>17.16</v>
      </c>
      <c r="F311" s="37" t="n">
        <f aca="false">F310*Inputs!$C$28</f>
        <v>21.0912</v>
      </c>
      <c r="G311" s="37" t="n">
        <f aca="false">G310*Inputs!$C$28</f>
        <v>23.622144</v>
      </c>
      <c r="H311" s="37" t="n">
        <f aca="false">H310*Inputs!$C$28</f>
        <v>24.56702976</v>
      </c>
      <c r="I311" s="37" t="n">
        <f aca="false">I310*Inputs!$C$28</f>
        <v>26.27970269184</v>
      </c>
      <c r="J311" s="37" t="n">
        <f aca="false">J310*Inputs!$C$28</f>
        <v>27.3308907995136</v>
      </c>
      <c r="K311" s="37" t="n">
        <f aca="false">K310*Inputs!$C$28</f>
        <v>28.4241264314941</v>
      </c>
      <c r="L311" s="37" t="n">
        <f aca="false">L310*Inputs!$C$28</f>
        <v>29.5610914887539</v>
      </c>
      <c r="M311" s="37" t="n">
        <f aca="false">M310*Inputs!$C$28</f>
        <v>30.7435351483041</v>
      </c>
    </row>
    <row r="312" customFormat="false" ht="15" hidden="false" customHeight="false" outlineLevel="0" collapsed="false">
      <c r="A312" s="9" t="s">
        <v>152</v>
      </c>
      <c r="B312" s="36" t="s">
        <v>55</v>
      </c>
      <c r="D312" s="38" t="n">
        <f aca="false">D310+D311</f>
        <v>148.5</v>
      </c>
      <c r="E312" s="38" t="n">
        <f aca="false">E310+E311</f>
        <v>188.76</v>
      </c>
      <c r="F312" s="38" t="n">
        <f aca="false">F310+F311</f>
        <v>232.0032</v>
      </c>
      <c r="G312" s="38" t="n">
        <f aca="false">G310+G311</f>
        <v>259.843584</v>
      </c>
      <c r="H312" s="38" t="n">
        <f aca="false">H310+H311</f>
        <v>270.23732736</v>
      </c>
      <c r="I312" s="38" t="n">
        <f aca="false">I310+I311</f>
        <v>289.07672961024</v>
      </c>
      <c r="J312" s="38" t="n">
        <f aca="false">J310+J311</f>
        <v>300.63979879465</v>
      </c>
      <c r="K312" s="38" t="n">
        <f aca="false">K310+K311</f>
        <v>312.665390746436</v>
      </c>
      <c r="L312" s="38" t="n">
        <f aca="false">L310+L311</f>
        <v>325.172006376293</v>
      </c>
      <c r="M312" s="38" t="n">
        <f aca="false">M310+M311</f>
        <v>338.178886631345</v>
      </c>
    </row>
    <row r="314" customFormat="false" ht="15" hidden="false" customHeight="false" outlineLevel="0" collapsed="false">
      <c r="A314" s="24" t="s">
        <v>153</v>
      </c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</row>
    <row r="315" customFormat="false" ht="15" hidden="false" customHeight="false" outlineLevel="0" collapsed="false">
      <c r="A315" s="26" t="s">
        <v>154</v>
      </c>
      <c r="B315" s="36" t="s">
        <v>55</v>
      </c>
      <c r="D315" s="37" t="n">
        <f aca="false">D308*Inputs!$C$30*(1+Inputs!$C$31)^(Inputs!D$6-1)/Inputs!$C$48*(1+Inputs!$E$62)</f>
        <v>21.375</v>
      </c>
      <c r="E315" s="37" t="n">
        <f aca="false">E308*Inputs!$C$30*(1+Inputs!$C$31)^(Inputs!E$6-1)/Inputs!$C$48*(1+Inputs!$E$62)</f>
        <v>27.43125</v>
      </c>
      <c r="F315" s="37" t="n">
        <f aca="false">F308*Inputs!$C$30*(1+Inputs!$C$31)^(Inputs!F$6-1)/Inputs!$C$48*(1+Inputs!$E$62)</f>
        <v>34.0396875</v>
      </c>
      <c r="G315" s="37" t="n">
        <f aca="false">G308*Inputs!$C$30*(1+Inputs!$C$31)^(Inputs!G$6-1)/Inputs!$C$48*(1+Inputs!$E$62)</f>
        <v>38.49103125</v>
      </c>
      <c r="H315" s="37" t="n">
        <f aca="false">H308*Inputs!$C$30*(1+Inputs!$C$31)^(Inputs!H$6-1)/Inputs!$C$48*(1+Inputs!$E$62)</f>
        <v>40.4155828125</v>
      </c>
      <c r="I315" s="37" t="n">
        <f aca="false">I308*Inputs!$C$30*(1+Inputs!$C$31)^(Inputs!I$6-1)/Inputs!$C$48*(1+Inputs!$E$62)</f>
        <v>43.6488294375</v>
      </c>
      <c r="J315" s="37" t="n">
        <f aca="false">J308*Inputs!$C$30*(1+Inputs!$C$31)^(Inputs!J$6-1)/Inputs!$C$48*(1+Inputs!$E$62)</f>
        <v>45.831270909375</v>
      </c>
      <c r="K315" s="37" t="n">
        <f aca="false">K308*Inputs!$C$30*(1+Inputs!$C$31)^(Inputs!K$6-1)/Inputs!$C$48*(1+Inputs!$E$62)</f>
        <v>48.1228344548438</v>
      </c>
      <c r="L315" s="37" t="n">
        <f aca="false">L308*Inputs!$C$30*(1+Inputs!$C$31)^(Inputs!L$6-1)/Inputs!$C$48*(1+Inputs!$E$62)</f>
        <v>50.528976177586</v>
      </c>
      <c r="M315" s="37" t="n">
        <f aca="false">M308*Inputs!$C$30*(1+Inputs!$C$31)^(Inputs!M$6-1)/Inputs!$C$48*(1+Inputs!$E$62)</f>
        <v>53.0554249864653</v>
      </c>
    </row>
    <row r="316" customFormat="false" ht="15" hidden="false" customHeight="false" outlineLevel="0" collapsed="false">
      <c r="A316" s="26" t="s">
        <v>155</v>
      </c>
      <c r="B316" s="36" t="s">
        <v>55</v>
      </c>
      <c r="D316" s="37" t="n">
        <f aca="false">-D315*Inputs!$C$32</f>
        <v>-3.8475</v>
      </c>
      <c r="E316" s="37" t="n">
        <f aca="false">-E315*Inputs!$C$32</f>
        <v>-4.937625</v>
      </c>
      <c r="F316" s="37" t="n">
        <f aca="false">-F315*Inputs!$C$32</f>
        <v>-6.12714375</v>
      </c>
      <c r="G316" s="37" t="n">
        <f aca="false">-G315*Inputs!$C$32</f>
        <v>-6.928385625</v>
      </c>
      <c r="H316" s="37" t="n">
        <f aca="false">-H315*Inputs!$C$32</f>
        <v>-7.27480490625</v>
      </c>
      <c r="I316" s="37" t="n">
        <f aca="false">-I315*Inputs!$C$32</f>
        <v>-7.85678929875</v>
      </c>
      <c r="J316" s="37" t="n">
        <f aca="false">-J315*Inputs!$C$32</f>
        <v>-8.2496287636875</v>
      </c>
      <c r="K316" s="37" t="n">
        <f aca="false">-K315*Inputs!$C$32</f>
        <v>-8.66211020187188</v>
      </c>
      <c r="L316" s="37" t="n">
        <f aca="false">-L315*Inputs!$C$32</f>
        <v>-9.09521571196547</v>
      </c>
      <c r="M316" s="37" t="n">
        <f aca="false">-M315*Inputs!$C$32</f>
        <v>-9.54997649756375</v>
      </c>
    </row>
    <row r="317" customFormat="false" ht="15" hidden="false" customHeight="false" outlineLevel="0" collapsed="false">
      <c r="A317" s="26" t="s">
        <v>156</v>
      </c>
      <c r="B317" s="36" t="s">
        <v>55</v>
      </c>
      <c r="D317" s="37" t="n">
        <f aca="false">D312*Inputs!$C$33*(1+Inputs!$E$62)</f>
        <v>4.455</v>
      </c>
      <c r="E317" s="37" t="n">
        <f aca="false">E312*Inputs!$C$33*(1+Inputs!$E$62)</f>
        <v>5.6628</v>
      </c>
      <c r="F317" s="37" t="n">
        <f aca="false">F312*Inputs!$C$33*(1+Inputs!$E$62)</f>
        <v>6.960096</v>
      </c>
      <c r="G317" s="37" t="n">
        <f aca="false">G312*Inputs!$C$33*(1+Inputs!$E$62)</f>
        <v>7.79530752</v>
      </c>
      <c r="H317" s="37" t="n">
        <f aca="false">H312*Inputs!$C$33*(1+Inputs!$E$62)</f>
        <v>8.1071198208</v>
      </c>
      <c r="I317" s="37" t="n">
        <f aca="false">I312*Inputs!$C$33*(1+Inputs!$E$62)</f>
        <v>8.6723018883072</v>
      </c>
      <c r="J317" s="37" t="n">
        <f aca="false">J312*Inputs!$C$33*(1+Inputs!$E$62)</f>
        <v>9.01919396383949</v>
      </c>
      <c r="K317" s="37" t="n">
        <f aca="false">K312*Inputs!$C$33*(1+Inputs!$E$62)</f>
        <v>9.37996172239307</v>
      </c>
      <c r="L317" s="37" t="n">
        <f aca="false">L312*Inputs!$C$33*(1+Inputs!$E$62)</f>
        <v>9.75516019128879</v>
      </c>
      <c r="M317" s="37" t="n">
        <f aca="false">M312*Inputs!$C$33*(1+Inputs!$E$62)</f>
        <v>10.1453665989403</v>
      </c>
    </row>
    <row r="318" customFormat="false" ht="15" hidden="false" customHeight="false" outlineLevel="0" collapsed="false">
      <c r="A318" s="26" t="s">
        <v>157</v>
      </c>
      <c r="B318" s="36" t="s">
        <v>55</v>
      </c>
      <c r="D318" s="37" t="n">
        <f aca="false">Inputs!$C$34*(1+Inputs!$C$35)^(Inputs!D$6-1)*(1+Inputs!$E$62)</f>
        <v>32</v>
      </c>
      <c r="E318" s="37" t="n">
        <f aca="false">Inputs!$C$34*(1+Inputs!$C$35)^(Inputs!E$6-1)*(1+Inputs!$E$62)</f>
        <v>33.92</v>
      </c>
      <c r="F318" s="37" t="n">
        <f aca="false">Inputs!$C$34*(1+Inputs!$C$35)^(Inputs!F$6-1)*(1+Inputs!$E$62)</f>
        <v>35.9552</v>
      </c>
      <c r="G318" s="37" t="n">
        <f aca="false">Inputs!$C$34*(1+Inputs!$C$35)^(Inputs!G$6-1)*(1+Inputs!$E$62)</f>
        <v>38.112512</v>
      </c>
      <c r="H318" s="37" t="n">
        <f aca="false">Inputs!$C$34*(1+Inputs!$C$35)^(Inputs!H$6-1)*(1+Inputs!$E$62)</f>
        <v>40.39926272</v>
      </c>
      <c r="I318" s="37" t="n">
        <f aca="false">Inputs!$C$34*(1+Inputs!$C$35)^(Inputs!I$6-1)*(1+Inputs!$E$62)</f>
        <v>42.8232184832</v>
      </c>
      <c r="J318" s="37" t="n">
        <f aca="false">Inputs!$C$34*(1+Inputs!$C$35)^(Inputs!J$6-1)*(1+Inputs!$E$62)</f>
        <v>45.392611592192</v>
      </c>
      <c r="K318" s="37" t="n">
        <f aca="false">Inputs!$C$34*(1+Inputs!$C$35)^(Inputs!K$6-1)*(1+Inputs!$E$62)</f>
        <v>48.1161682877235</v>
      </c>
      <c r="L318" s="37" t="n">
        <f aca="false">Inputs!$C$34*(1+Inputs!$C$35)^(Inputs!L$6-1)*(1+Inputs!$E$62)</f>
        <v>51.003138384987</v>
      </c>
      <c r="M318" s="37" t="n">
        <f aca="false">Inputs!$C$34*(1+Inputs!$C$35)^(Inputs!M$6-1)*(1+Inputs!$E$62)</f>
        <v>54.0633266880862</v>
      </c>
    </row>
    <row r="319" customFormat="false" ht="15" hidden="false" customHeight="false" outlineLevel="0" collapsed="false">
      <c r="A319" s="26" t="s">
        <v>158</v>
      </c>
      <c r="B319" s="36" t="s">
        <v>55</v>
      </c>
      <c r="D319" s="37" t="n">
        <f aca="false">$C$304*Inputs!$C$36*(1+Inputs!$E$62)</f>
        <v>6.435</v>
      </c>
      <c r="E319" s="37" t="n">
        <f aca="false">$C$304*Inputs!$C$36*(1+Inputs!$E$62)</f>
        <v>6.435</v>
      </c>
      <c r="F319" s="37" t="n">
        <f aca="false">$C$304*Inputs!$C$36*(1+Inputs!$E$62)</f>
        <v>6.435</v>
      </c>
      <c r="G319" s="37" t="n">
        <f aca="false">$C$304*Inputs!$C$36*(1+Inputs!$E$62)</f>
        <v>6.435</v>
      </c>
      <c r="H319" s="37" t="n">
        <f aca="false">$C$304*Inputs!$C$36*(1+Inputs!$E$62)</f>
        <v>6.435</v>
      </c>
      <c r="I319" s="37" t="n">
        <f aca="false">$C$304*Inputs!$C$36*(1+Inputs!$E$62)</f>
        <v>6.435</v>
      </c>
      <c r="J319" s="37" t="n">
        <f aca="false">$C$304*Inputs!$C$36*(1+Inputs!$E$62)</f>
        <v>6.435</v>
      </c>
      <c r="K319" s="37" t="n">
        <f aca="false">$C$304*Inputs!$C$36*(1+Inputs!$E$62)</f>
        <v>6.435</v>
      </c>
      <c r="L319" s="37" t="n">
        <f aca="false">$C$304*Inputs!$C$36*(1+Inputs!$E$62)</f>
        <v>6.435</v>
      </c>
      <c r="M319" s="37" t="n">
        <f aca="false">$C$304*Inputs!$C$36*(1+Inputs!$E$62)</f>
        <v>6.435</v>
      </c>
    </row>
    <row r="320" customFormat="false" ht="15" hidden="false" customHeight="false" outlineLevel="0" collapsed="false">
      <c r="A320" s="26" t="s">
        <v>159</v>
      </c>
      <c r="B320" s="36" t="s">
        <v>55</v>
      </c>
      <c r="D320" s="37" t="n">
        <f aca="false">($C$303+$C$305)*Inputs!$C$37*(1+Inputs!$E$62)</f>
        <v>2.7678</v>
      </c>
      <c r="E320" s="37" t="n">
        <f aca="false">($C$303+$C$305)*Inputs!$C$37*(1+Inputs!$E$62)</f>
        <v>2.7678</v>
      </c>
      <c r="F320" s="37" t="n">
        <f aca="false">($C$303+$C$305)*Inputs!$C$37*(1+Inputs!$E$62)</f>
        <v>2.7678</v>
      </c>
      <c r="G320" s="37" t="n">
        <f aca="false">($C$303+$C$305)*Inputs!$C$37*(1+Inputs!$E$62)</f>
        <v>2.7678</v>
      </c>
      <c r="H320" s="37" t="n">
        <f aca="false">($C$303+$C$305)*Inputs!$C$37*(1+Inputs!$E$62)</f>
        <v>2.7678</v>
      </c>
      <c r="I320" s="37" t="n">
        <f aca="false">($C$303+$C$305)*Inputs!$C$37*(1+Inputs!$E$62)</f>
        <v>2.7678</v>
      </c>
      <c r="J320" s="37" t="n">
        <f aca="false">($C$303+$C$305)*Inputs!$C$37*(1+Inputs!$E$62)</f>
        <v>2.7678</v>
      </c>
      <c r="K320" s="37" t="n">
        <f aca="false">($C$303+$C$305)*Inputs!$C$37*(1+Inputs!$E$62)</f>
        <v>2.7678</v>
      </c>
      <c r="L320" s="37" t="n">
        <f aca="false">($C$303+$C$305)*Inputs!$C$37*(1+Inputs!$E$62)</f>
        <v>2.7678</v>
      </c>
      <c r="M320" s="37" t="n">
        <f aca="false">($C$303+$C$305)*Inputs!$C$37*(1+Inputs!$E$62)</f>
        <v>2.7678</v>
      </c>
    </row>
    <row r="321" customFormat="false" ht="15" hidden="false" customHeight="false" outlineLevel="0" collapsed="false">
      <c r="A321" s="26" t="s">
        <v>160</v>
      </c>
      <c r="B321" s="36" t="s">
        <v>55</v>
      </c>
      <c r="D321" s="37" t="n">
        <f aca="false">Inputs!$C$38*(1+Inputs!$C$39)^(Inputs!D$6-1)*(1+Inputs!$E$62)</f>
        <v>9</v>
      </c>
      <c r="E321" s="37" t="n">
        <f aca="false">Inputs!$C$38*(1+Inputs!$C$39)^(Inputs!E$6-1)*(1+Inputs!$E$62)</f>
        <v>9.45</v>
      </c>
      <c r="F321" s="37" t="n">
        <f aca="false">Inputs!$C$38*(1+Inputs!$C$39)^(Inputs!F$6-1)*(1+Inputs!$E$62)</f>
        <v>9.9225</v>
      </c>
      <c r="G321" s="37" t="n">
        <f aca="false">Inputs!$C$38*(1+Inputs!$C$39)^(Inputs!G$6-1)*(1+Inputs!$E$62)</f>
        <v>10.418625</v>
      </c>
      <c r="H321" s="37" t="n">
        <f aca="false">Inputs!$C$38*(1+Inputs!$C$39)^(Inputs!H$6-1)*(1+Inputs!$E$62)</f>
        <v>10.93955625</v>
      </c>
      <c r="I321" s="37" t="n">
        <f aca="false">Inputs!$C$38*(1+Inputs!$C$39)^(Inputs!I$6-1)*(1+Inputs!$E$62)</f>
        <v>11.4865340625</v>
      </c>
      <c r="J321" s="37" t="n">
        <f aca="false">Inputs!$C$38*(1+Inputs!$C$39)^(Inputs!J$6-1)*(1+Inputs!$E$62)</f>
        <v>12.060860765625</v>
      </c>
      <c r="K321" s="37" t="n">
        <f aca="false">Inputs!$C$38*(1+Inputs!$C$39)^(Inputs!K$6-1)*(1+Inputs!$E$62)</f>
        <v>12.6639038039063</v>
      </c>
      <c r="L321" s="37" t="n">
        <f aca="false">Inputs!$C$38*(1+Inputs!$C$39)^(Inputs!L$6-1)*(1+Inputs!$E$62)</f>
        <v>13.2970989941016</v>
      </c>
      <c r="M321" s="37" t="n">
        <f aca="false">Inputs!$C$38*(1+Inputs!$C$39)^(Inputs!M$6-1)*(1+Inputs!$E$62)</f>
        <v>13.9619539438066</v>
      </c>
    </row>
    <row r="322" customFormat="false" ht="15" hidden="false" customHeight="false" outlineLevel="0" collapsed="false">
      <c r="A322" s="9" t="s">
        <v>161</v>
      </c>
      <c r="B322" s="36" t="s">
        <v>55</v>
      </c>
      <c r="D322" s="38" t="n">
        <f aca="false">SUM(D315:D321)</f>
        <v>72.1853</v>
      </c>
      <c r="E322" s="38" t="n">
        <f aca="false">SUM(E315:E321)</f>
        <v>80.729225</v>
      </c>
      <c r="F322" s="38" t="n">
        <f aca="false">SUM(F315:F321)</f>
        <v>89.95313975</v>
      </c>
      <c r="G322" s="38" t="n">
        <f aca="false">SUM(G315:G321)</f>
        <v>97.091890145</v>
      </c>
      <c r="H322" s="38" t="n">
        <f aca="false">SUM(H315:H321)</f>
        <v>101.78951669705</v>
      </c>
      <c r="I322" s="38" t="n">
        <f aca="false">SUM(I315:I321)</f>
        <v>107.976894572757</v>
      </c>
      <c r="J322" s="38" t="n">
        <f aca="false">SUM(J315:J321)</f>
        <v>113.257108467344</v>
      </c>
      <c r="K322" s="38" t="n">
        <f aca="false">SUM(K315:K321)</f>
        <v>118.823558066995</v>
      </c>
      <c r="L322" s="38" t="n">
        <f aca="false">SUM(L315:L321)</f>
        <v>124.691958035998</v>
      </c>
      <c r="M322" s="38" t="n">
        <f aca="false">SUM(M315:M321)</f>
        <v>130.878895719735</v>
      </c>
    </row>
    <row r="323" customFormat="false" ht="15" hidden="false" customHeight="false" outlineLevel="0" collapsed="false">
      <c r="A323" s="26" t="s">
        <v>162</v>
      </c>
      <c r="B323" s="36" t="s">
        <v>55</v>
      </c>
      <c r="D323" s="37" t="n">
        <f aca="false">D315+D316+D317</f>
        <v>21.9825</v>
      </c>
      <c r="E323" s="37" t="n">
        <f aca="false">E315+E316+E317</f>
        <v>28.156425</v>
      </c>
      <c r="F323" s="37" t="n">
        <f aca="false">F315+F316+F317</f>
        <v>34.87263975</v>
      </c>
      <c r="G323" s="37" t="n">
        <f aca="false">G315+G316+G317</f>
        <v>39.357953145</v>
      </c>
      <c r="H323" s="37" t="n">
        <f aca="false">H315+H316+H317</f>
        <v>41.24789772705</v>
      </c>
      <c r="I323" s="37" t="n">
        <f aca="false">I315+I316+I317</f>
        <v>44.4643420270572</v>
      </c>
      <c r="J323" s="37" t="n">
        <f aca="false">J315+J316+J317</f>
        <v>46.600836109527</v>
      </c>
      <c r="K323" s="37" t="n">
        <f aca="false">K315+K316+K317</f>
        <v>48.840685975365</v>
      </c>
      <c r="L323" s="37" t="n">
        <f aca="false">L315+L316+L317</f>
        <v>51.1889206569093</v>
      </c>
      <c r="M323" s="37" t="n">
        <f aca="false">M315+M316+M317</f>
        <v>53.6508150878419</v>
      </c>
    </row>
    <row r="324" customFormat="false" ht="15" hidden="false" customHeight="false" outlineLevel="0" collapsed="false">
      <c r="A324" s="26" t="s">
        <v>163</v>
      </c>
      <c r="B324" s="36" t="s">
        <v>55</v>
      </c>
      <c r="D324" s="37" t="n">
        <f aca="false">D318+D319+D320+D321</f>
        <v>50.2028</v>
      </c>
      <c r="E324" s="37" t="n">
        <f aca="false">E318+E319+E320+E321</f>
        <v>52.5728</v>
      </c>
      <c r="F324" s="37" t="n">
        <f aca="false">F318+F319+F320+F321</f>
        <v>55.0805</v>
      </c>
      <c r="G324" s="37" t="n">
        <f aca="false">G318+G319+G320+G321</f>
        <v>57.733937</v>
      </c>
      <c r="H324" s="37" t="n">
        <f aca="false">H318+H319+H320+H321</f>
        <v>60.54161897</v>
      </c>
      <c r="I324" s="37" t="n">
        <f aca="false">I318+I319+I320+I321</f>
        <v>63.5125525457</v>
      </c>
      <c r="J324" s="37" t="n">
        <f aca="false">J318+J319+J320+J321</f>
        <v>66.656272357817</v>
      </c>
      <c r="K324" s="37" t="n">
        <f aca="false">K318+K319+K320+K321</f>
        <v>69.9828720916298</v>
      </c>
      <c r="L324" s="37" t="n">
        <f aca="false">L318+L319+L320+L321</f>
        <v>73.5030373790885</v>
      </c>
      <c r="M324" s="37" t="n">
        <f aca="false">M318+M319+M320+M321</f>
        <v>77.2280806318928</v>
      </c>
    </row>
    <row r="325" customFormat="false" ht="15" hidden="false" customHeight="false" outlineLevel="0" collapsed="false">
      <c r="A325" s="9" t="s">
        <v>20</v>
      </c>
      <c r="B325" s="36" t="s">
        <v>55</v>
      </c>
      <c r="D325" s="38" t="n">
        <f aca="false">D312-D322</f>
        <v>76.3147</v>
      </c>
      <c r="E325" s="38" t="n">
        <f aca="false">E312-E322</f>
        <v>108.030775</v>
      </c>
      <c r="F325" s="38" t="n">
        <f aca="false">F312-F322</f>
        <v>142.05006025</v>
      </c>
      <c r="G325" s="38" t="n">
        <f aca="false">G312-G322</f>
        <v>162.751693855</v>
      </c>
      <c r="H325" s="38" t="n">
        <f aca="false">H312-H322</f>
        <v>168.44781066295</v>
      </c>
      <c r="I325" s="38" t="n">
        <f aca="false">I312-I322</f>
        <v>181.099835037483</v>
      </c>
      <c r="J325" s="38" t="n">
        <f aca="false">J312-J322</f>
        <v>187.382690327306</v>
      </c>
      <c r="K325" s="38" t="n">
        <f aca="false">K312-K322</f>
        <v>193.841832679441</v>
      </c>
      <c r="L325" s="38" t="n">
        <f aca="false">L312-L322</f>
        <v>200.480048340295</v>
      </c>
      <c r="M325" s="38" t="n">
        <f aca="false">M312-M322</f>
        <v>207.29999091161</v>
      </c>
    </row>
    <row r="327" customFormat="false" ht="15" hidden="false" customHeight="false" outlineLevel="0" collapsed="false">
      <c r="A327" s="24" t="s">
        <v>164</v>
      </c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</row>
    <row r="328" customFormat="false" ht="15" hidden="false" customHeight="false" outlineLevel="0" collapsed="false">
      <c r="A328" s="26" t="s">
        <v>165</v>
      </c>
      <c r="B328" s="36" t="s">
        <v>55</v>
      </c>
      <c r="D328" s="37" t="n">
        <f aca="false">IF(Inputs!D$6&lt;=Inputs!$C$41,$C$303/Inputs!$C$41,0)</f>
        <v>8.05</v>
      </c>
      <c r="E328" s="37" t="n">
        <f aca="false">IF(Inputs!E$6&lt;=Inputs!$C$41,$C$303/Inputs!$C$41,0)</f>
        <v>8.05</v>
      </c>
      <c r="F328" s="37" t="n">
        <f aca="false">IF(Inputs!F$6&lt;=Inputs!$C$41,$C$303/Inputs!$C$41,0)</f>
        <v>8.05</v>
      </c>
      <c r="G328" s="37" t="n">
        <f aca="false">IF(Inputs!G$6&lt;=Inputs!$C$41,$C$303/Inputs!$C$41,0)</f>
        <v>8.05</v>
      </c>
      <c r="H328" s="37" t="n">
        <f aca="false">IF(Inputs!H$6&lt;=Inputs!$C$41,$C$303/Inputs!$C$41,0)</f>
        <v>8.05</v>
      </c>
      <c r="I328" s="37" t="n">
        <f aca="false">IF(Inputs!I$6&lt;=Inputs!$C$41,$C$303/Inputs!$C$41,0)</f>
        <v>8.05</v>
      </c>
      <c r="J328" s="37" t="n">
        <f aca="false">IF(Inputs!J$6&lt;=Inputs!$C$41,$C$303/Inputs!$C$41,0)</f>
        <v>8.05</v>
      </c>
      <c r="K328" s="37" t="n">
        <f aca="false">IF(Inputs!K$6&lt;=Inputs!$C$41,$C$303/Inputs!$C$41,0)</f>
        <v>8.05</v>
      </c>
      <c r="L328" s="37" t="n">
        <f aca="false">IF(Inputs!L$6&lt;=Inputs!$C$41,$C$303/Inputs!$C$41,0)</f>
        <v>8.05</v>
      </c>
      <c r="M328" s="37" t="n">
        <f aca="false">IF(Inputs!M$6&lt;=Inputs!$C$41,$C$303/Inputs!$C$41,0)</f>
        <v>8.05</v>
      </c>
    </row>
    <row r="329" customFormat="false" ht="15" hidden="false" customHeight="false" outlineLevel="0" collapsed="false">
      <c r="A329" s="26" t="s">
        <v>166</v>
      </c>
      <c r="B329" s="36" t="s">
        <v>55</v>
      </c>
      <c r="D329" s="37" t="n">
        <f aca="false">IF(Inputs!D$6&lt;=Inputs!$C$42,$C$305/Inputs!$C$42,0)</f>
        <v>30.03</v>
      </c>
      <c r="E329" s="37" t="n">
        <f aca="false">IF(Inputs!E$6&lt;=Inputs!$C$42,$C$305/Inputs!$C$42,0)</f>
        <v>30.03</v>
      </c>
      <c r="F329" s="37" t="n">
        <f aca="false">IF(Inputs!F$6&lt;=Inputs!$C$42,$C$305/Inputs!$C$42,0)</f>
        <v>30.03</v>
      </c>
      <c r="G329" s="37" t="n">
        <f aca="false">IF(Inputs!G$6&lt;=Inputs!$C$42,$C$305/Inputs!$C$42,0)</f>
        <v>30.03</v>
      </c>
      <c r="H329" s="37" t="n">
        <f aca="false">IF(Inputs!H$6&lt;=Inputs!$C$42,$C$305/Inputs!$C$42,0)</f>
        <v>30.03</v>
      </c>
      <c r="I329" s="37" t="n">
        <f aca="false">IF(Inputs!I$6&lt;=Inputs!$C$42,$C$305/Inputs!$C$42,0)</f>
        <v>30.03</v>
      </c>
      <c r="J329" s="37" t="n">
        <f aca="false">IF(Inputs!J$6&lt;=Inputs!$C$42,$C$305/Inputs!$C$42,0)</f>
        <v>30.03</v>
      </c>
      <c r="K329" s="37" t="n">
        <f aca="false">IF(Inputs!K$6&lt;=Inputs!$C$42,$C$305/Inputs!$C$42,0)</f>
        <v>30.03</v>
      </c>
      <c r="L329" s="37" t="n">
        <f aca="false">IF(Inputs!L$6&lt;=Inputs!$C$42,$C$305/Inputs!$C$42,0)</f>
        <v>30.03</v>
      </c>
      <c r="M329" s="37" t="n">
        <f aca="false">IF(Inputs!M$6&lt;=Inputs!$C$42,$C$305/Inputs!$C$42,0)</f>
        <v>30.03</v>
      </c>
    </row>
    <row r="330" customFormat="false" ht="15" hidden="false" customHeight="false" outlineLevel="0" collapsed="false">
      <c r="A330" s="26" t="s">
        <v>167</v>
      </c>
      <c r="B330" s="36" t="s">
        <v>55</v>
      </c>
      <c r="D330" s="37" t="n">
        <f aca="false">IF(Inputs!D$6&lt;=Inputs!$C$43,$C$291/Inputs!$C$43,0)</f>
        <v>4.4</v>
      </c>
      <c r="E330" s="37" t="n">
        <f aca="false">IF(Inputs!E$6&lt;=Inputs!$C$43,$C$291/Inputs!$C$43,0)</f>
        <v>4.4</v>
      </c>
      <c r="F330" s="37" t="n">
        <f aca="false">IF(Inputs!F$6&lt;=Inputs!$C$43,$C$291/Inputs!$C$43,0)</f>
        <v>4.4</v>
      </c>
      <c r="G330" s="37" t="n">
        <f aca="false">IF(Inputs!G$6&lt;=Inputs!$C$43,$C$291/Inputs!$C$43,0)</f>
        <v>4.4</v>
      </c>
      <c r="H330" s="37" t="n">
        <f aca="false">IF(Inputs!H$6&lt;=Inputs!$C$43,$C$291/Inputs!$C$43,0)</f>
        <v>4.4</v>
      </c>
      <c r="I330" s="37" t="n">
        <f aca="false">IF(Inputs!I$6&lt;=Inputs!$C$43,$C$291/Inputs!$C$43,0)</f>
        <v>0</v>
      </c>
      <c r="J330" s="37" t="n">
        <f aca="false">IF(Inputs!J$6&lt;=Inputs!$C$43,$C$291/Inputs!$C$43,0)</f>
        <v>0</v>
      </c>
      <c r="K330" s="37" t="n">
        <f aca="false">IF(Inputs!K$6&lt;=Inputs!$C$43,$C$291/Inputs!$C$43,0)</f>
        <v>0</v>
      </c>
      <c r="L330" s="37" t="n">
        <f aca="false">IF(Inputs!L$6&lt;=Inputs!$C$43,$C$291/Inputs!$C$43,0)</f>
        <v>0</v>
      </c>
      <c r="M330" s="37" t="n">
        <f aca="false">IF(Inputs!M$6&lt;=Inputs!$C$43,$C$291/Inputs!$C$43,0)</f>
        <v>0</v>
      </c>
    </row>
    <row r="331" customFormat="false" ht="15" hidden="false" customHeight="false" outlineLevel="0" collapsed="false">
      <c r="A331" s="9" t="s">
        <v>168</v>
      </c>
      <c r="B331" s="36" t="s">
        <v>55</v>
      </c>
      <c r="D331" s="38" t="n">
        <f aca="false">SUM(D328:D330)</f>
        <v>42.48</v>
      </c>
      <c r="E331" s="38" t="n">
        <f aca="false">SUM(E328:E330)</f>
        <v>42.48</v>
      </c>
      <c r="F331" s="38" t="n">
        <f aca="false">SUM(F328:F330)</f>
        <v>42.48</v>
      </c>
      <c r="G331" s="38" t="n">
        <f aca="false">SUM(G328:G330)</f>
        <v>42.48</v>
      </c>
      <c r="H331" s="38" t="n">
        <f aca="false">SUM(H328:H330)</f>
        <v>42.48</v>
      </c>
      <c r="I331" s="38" t="n">
        <f aca="false">SUM(I328:I330)</f>
        <v>38.08</v>
      </c>
      <c r="J331" s="38" t="n">
        <f aca="false">SUM(J328:J330)</f>
        <v>38.08</v>
      </c>
      <c r="K331" s="38" t="n">
        <f aca="false">SUM(K328:K330)</f>
        <v>38.08</v>
      </c>
      <c r="L331" s="38" t="n">
        <f aca="false">SUM(L328:L330)</f>
        <v>38.08</v>
      </c>
      <c r="M331" s="38" t="n">
        <f aca="false">SUM(M328:M330)</f>
        <v>38.08</v>
      </c>
    </row>
    <row r="332" customFormat="false" ht="15" hidden="false" customHeight="false" outlineLevel="0" collapsed="false">
      <c r="A332" s="26" t="s">
        <v>169</v>
      </c>
      <c r="B332" s="36" t="s">
        <v>55</v>
      </c>
      <c r="C332" s="37" t="n">
        <f aca="false">C292</f>
        <v>753.95</v>
      </c>
      <c r="D332" s="37" t="n">
        <f aca="false">C332-D331</f>
        <v>711.47</v>
      </c>
      <c r="E332" s="37" t="n">
        <f aca="false">D332-E331</f>
        <v>668.99</v>
      </c>
      <c r="F332" s="37" t="n">
        <f aca="false">E332-F331</f>
        <v>626.51</v>
      </c>
      <c r="G332" s="37" t="n">
        <f aca="false">F332-G331</f>
        <v>584.03</v>
      </c>
      <c r="H332" s="37" t="n">
        <f aca="false">G332-H331</f>
        <v>541.55</v>
      </c>
      <c r="I332" s="37" t="n">
        <f aca="false">H332-I331</f>
        <v>503.47</v>
      </c>
      <c r="J332" s="37" t="n">
        <f aca="false">I332-J331</f>
        <v>465.39</v>
      </c>
      <c r="K332" s="37" t="n">
        <f aca="false">J332-K331</f>
        <v>427.31</v>
      </c>
      <c r="L332" s="37" t="n">
        <f aca="false">K332-L331</f>
        <v>389.23</v>
      </c>
      <c r="M332" s="37" t="n">
        <f aca="false">L332-M331</f>
        <v>351.15</v>
      </c>
    </row>
    <row r="334" customFormat="false" ht="15" hidden="false" customHeight="false" outlineLevel="0" collapsed="false">
      <c r="A334" s="24" t="s">
        <v>170</v>
      </c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</row>
    <row r="335" customFormat="false" ht="15" hidden="false" customHeight="false" outlineLevel="0" collapsed="false">
      <c r="A335" s="26" t="s">
        <v>171</v>
      </c>
      <c r="B335" s="36" t="s">
        <v>55</v>
      </c>
      <c r="C335" s="37" t="n">
        <f aca="false">0</f>
        <v>0</v>
      </c>
      <c r="D335" s="37" t="n">
        <f aca="false">D312*Inputs!$C$45/Inputs!$C$47</f>
        <v>18.3082191780822</v>
      </c>
      <c r="E335" s="37" t="n">
        <f aca="false">E312*Inputs!$C$45/Inputs!$C$47</f>
        <v>23.2717808219178</v>
      </c>
      <c r="F335" s="37" t="n">
        <f aca="false">F312*Inputs!$C$45/Inputs!$C$47</f>
        <v>28.6031342465753</v>
      </c>
      <c r="G335" s="37" t="n">
        <f aca="false">G312*Inputs!$C$45/Inputs!$C$47</f>
        <v>32.0355103561644</v>
      </c>
      <c r="H335" s="37" t="n">
        <f aca="false">H312*Inputs!$C$45/Inputs!$C$47</f>
        <v>33.316930770411</v>
      </c>
      <c r="I335" s="37" t="n">
        <f aca="false">I312*Inputs!$C$45/Inputs!$C$47</f>
        <v>35.6395968012625</v>
      </c>
      <c r="J335" s="37" t="n">
        <f aca="false">J312*Inputs!$C$45/Inputs!$C$47</f>
        <v>37.065180673313</v>
      </c>
      <c r="K335" s="37" t="n">
        <f aca="false">K312*Inputs!$C$45/Inputs!$C$47</f>
        <v>38.5477879002455</v>
      </c>
      <c r="L335" s="37" t="n">
        <f aca="false">L312*Inputs!$C$45/Inputs!$C$47</f>
        <v>40.0896994162553</v>
      </c>
      <c r="M335" s="37" t="n">
        <f aca="false">M312*Inputs!$C$45/Inputs!$C$47</f>
        <v>41.6932873929055</v>
      </c>
    </row>
    <row r="336" customFormat="false" ht="15" hidden="false" customHeight="false" outlineLevel="0" collapsed="false">
      <c r="A336" s="26" t="s">
        <v>172</v>
      </c>
      <c r="B336" s="36" t="s">
        <v>55</v>
      </c>
      <c r="C336" s="37" t="n">
        <f aca="false">0</f>
        <v>0</v>
      </c>
      <c r="D336" s="37" t="n">
        <f aca="false">D322*Inputs!$C$46/Inputs!$C$47</f>
        <v>5.93303835616438</v>
      </c>
      <c r="E336" s="37" t="n">
        <f aca="false">E322*Inputs!$C$46/Inputs!$C$47</f>
        <v>6.63527876712329</v>
      </c>
      <c r="F336" s="37" t="n">
        <f aca="false">F322*Inputs!$C$46/Inputs!$C$47</f>
        <v>7.39340874657534</v>
      </c>
      <c r="G336" s="37" t="n">
        <f aca="false">G322*Inputs!$C$46/Inputs!$C$47</f>
        <v>7.98015535438356</v>
      </c>
      <c r="H336" s="37" t="n">
        <f aca="false">H322*Inputs!$C$46/Inputs!$C$47</f>
        <v>8.36626164633288</v>
      </c>
      <c r="I336" s="37" t="n">
        <f aca="false">I322*Inputs!$C$46/Inputs!$C$47</f>
        <v>8.87481325255539</v>
      </c>
      <c r="J336" s="37" t="n">
        <f aca="false">J322*Inputs!$C$46/Inputs!$C$47</f>
        <v>9.30880343567211</v>
      </c>
      <c r="K336" s="37" t="n">
        <f aca="false">K322*Inputs!$C$46/Inputs!$C$47</f>
        <v>9.76631984112286</v>
      </c>
      <c r="L336" s="37" t="n">
        <f aca="false">L322*Inputs!$C$46/Inputs!$C$47</f>
        <v>10.2486540851505</v>
      </c>
      <c r="M336" s="37" t="n">
        <f aca="false">M322*Inputs!$C$46/Inputs!$C$47</f>
        <v>10.7571695112111</v>
      </c>
    </row>
    <row r="337" customFormat="false" ht="15" hidden="false" customHeight="false" outlineLevel="0" collapsed="false">
      <c r="A337" s="9" t="s">
        <v>173</v>
      </c>
      <c r="B337" s="36" t="s">
        <v>55</v>
      </c>
      <c r="C337" s="43" t="n">
        <f aca="false">C335-C336</f>
        <v>0</v>
      </c>
      <c r="D337" s="43" t="n">
        <f aca="false">D335-D336</f>
        <v>12.3751808219178</v>
      </c>
      <c r="E337" s="43" t="n">
        <f aca="false">E335-E336</f>
        <v>16.6365020547945</v>
      </c>
      <c r="F337" s="43" t="n">
        <f aca="false">F335-F336</f>
        <v>21.2097255</v>
      </c>
      <c r="G337" s="43" t="n">
        <f aca="false">G335-G336</f>
        <v>24.0553550017808</v>
      </c>
      <c r="H337" s="43" t="n">
        <f aca="false">H335-H336</f>
        <v>24.9506691240781</v>
      </c>
      <c r="I337" s="43" t="n">
        <f aca="false">I335-I336</f>
        <v>26.7647835487071</v>
      </c>
      <c r="J337" s="43" t="n">
        <f aca="false">J335-J336</f>
        <v>27.7563772376409</v>
      </c>
      <c r="K337" s="43" t="n">
        <f aca="false">K335-K336</f>
        <v>28.7814680591226</v>
      </c>
      <c r="L337" s="43" t="n">
        <f aca="false">L335-L336</f>
        <v>29.8410453311048</v>
      </c>
      <c r="M337" s="43" t="n">
        <f aca="false">M335-M336</f>
        <v>30.9361178816945</v>
      </c>
    </row>
    <row r="338" customFormat="false" ht="15" hidden="false" customHeight="false" outlineLevel="0" collapsed="false">
      <c r="A338" s="24" t="s">
        <v>281</v>
      </c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</row>
    <row r="339" customFormat="false" ht="15" hidden="false" customHeight="false" outlineLevel="0" collapsed="false">
      <c r="A339" s="26" t="s">
        <v>176</v>
      </c>
      <c r="B339" s="36" t="s">
        <v>55</v>
      </c>
      <c r="C339" s="37" t="n">
        <f aca="false">0</f>
        <v>0</v>
      </c>
      <c r="D339" s="37" t="n">
        <f aca="false">C344</f>
        <v>463.17</v>
      </c>
      <c r="E339" s="37" t="n">
        <f aca="false">D344</f>
        <v>463.17</v>
      </c>
      <c r="F339" s="37" t="n">
        <f aca="false">E344</f>
        <v>463.17</v>
      </c>
      <c r="G339" s="37" t="n">
        <f aca="false">F344</f>
        <v>397.002857142857</v>
      </c>
      <c r="H339" s="37" t="n">
        <f aca="false">G344</f>
        <v>330.835714285714</v>
      </c>
      <c r="I339" s="37" t="n">
        <f aca="false">H344</f>
        <v>264.668571428571</v>
      </c>
      <c r="J339" s="37" t="n">
        <f aca="false">I344</f>
        <v>198.501428571429</v>
      </c>
      <c r="K339" s="37" t="n">
        <f aca="false">J344</f>
        <v>132.334285714286</v>
      </c>
      <c r="L339" s="37" t="n">
        <f aca="false">K344</f>
        <v>66.1671428571429</v>
      </c>
      <c r="M339" s="37" t="n">
        <f aca="false">L344</f>
        <v>0</v>
      </c>
    </row>
    <row r="340" customFormat="false" ht="15" hidden="false" customHeight="false" outlineLevel="0" collapsed="false">
      <c r="A340" s="26" t="s">
        <v>177</v>
      </c>
      <c r="B340" s="36" t="s">
        <v>55</v>
      </c>
      <c r="C340" s="37" t="n">
        <f aca="false">C297</f>
        <v>463.17</v>
      </c>
      <c r="D340" s="37" t="n">
        <f aca="false">0</f>
        <v>0</v>
      </c>
      <c r="E340" s="37" t="n">
        <f aca="false">0</f>
        <v>0</v>
      </c>
      <c r="F340" s="37" t="n">
        <f aca="false">0</f>
        <v>0</v>
      </c>
      <c r="G340" s="37" t="n">
        <f aca="false">0</f>
        <v>0</v>
      </c>
      <c r="H340" s="37" t="n">
        <f aca="false">0</f>
        <v>0</v>
      </c>
      <c r="I340" s="37" t="n">
        <f aca="false">0</f>
        <v>0</v>
      </c>
      <c r="J340" s="37" t="n">
        <f aca="false">0</f>
        <v>0</v>
      </c>
      <c r="K340" s="37" t="n">
        <f aca="false">0</f>
        <v>0</v>
      </c>
      <c r="L340" s="37" t="n">
        <f aca="false">0</f>
        <v>0</v>
      </c>
      <c r="M340" s="37" t="n">
        <f aca="false">0</f>
        <v>0</v>
      </c>
    </row>
    <row r="341" customFormat="false" ht="15" hidden="false" customHeight="false" outlineLevel="0" collapsed="false">
      <c r="A341" s="26" t="s">
        <v>178</v>
      </c>
      <c r="B341" s="36" t="s">
        <v>62</v>
      </c>
      <c r="C341" s="40" t="n">
        <f aca="false">Inputs!$C$21+Inputs!$G$62</f>
        <v>0.105</v>
      </c>
      <c r="D341" s="40" t="n">
        <f aca="false">Inputs!$C$21+Inputs!$G$62</f>
        <v>0.105</v>
      </c>
      <c r="E341" s="40" t="n">
        <f aca="false">Inputs!$C$21+Inputs!$G$62</f>
        <v>0.105</v>
      </c>
      <c r="F341" s="40" t="n">
        <f aca="false">Inputs!$C$21+Inputs!$G$62</f>
        <v>0.105</v>
      </c>
      <c r="G341" s="40" t="n">
        <f aca="false">Inputs!$C$21+Inputs!$G$62</f>
        <v>0.105</v>
      </c>
      <c r="H341" s="40" t="n">
        <f aca="false">Inputs!$C$21+Inputs!$G$62</f>
        <v>0.105</v>
      </c>
      <c r="I341" s="40" t="n">
        <f aca="false">Inputs!$C$21+Inputs!$G$62</f>
        <v>0.105</v>
      </c>
      <c r="J341" s="40" t="n">
        <f aca="false">Inputs!$C$21+Inputs!$G$62</f>
        <v>0.105</v>
      </c>
      <c r="K341" s="40" t="n">
        <f aca="false">Inputs!$C$21+Inputs!$G$62</f>
        <v>0.105</v>
      </c>
      <c r="L341" s="40" t="n">
        <f aca="false">Inputs!$C$21+Inputs!$G$62</f>
        <v>0.105</v>
      </c>
      <c r="M341" s="40" t="n">
        <f aca="false">Inputs!$C$21+Inputs!$G$62</f>
        <v>0.105</v>
      </c>
    </row>
    <row r="342" customFormat="false" ht="15" hidden="false" customHeight="false" outlineLevel="0" collapsed="false">
      <c r="A342" s="26" t="s">
        <v>179</v>
      </c>
      <c r="B342" s="36" t="s">
        <v>55</v>
      </c>
      <c r="C342" s="37" t="n">
        <f aca="false">0</f>
        <v>0</v>
      </c>
      <c r="D342" s="37" t="n">
        <f aca="false">D339*D341</f>
        <v>48.63285</v>
      </c>
      <c r="E342" s="37" t="n">
        <f aca="false">E339*E341</f>
        <v>48.63285</v>
      </c>
      <c r="F342" s="37" t="n">
        <f aca="false">F339*F341</f>
        <v>48.63285</v>
      </c>
      <c r="G342" s="37" t="n">
        <f aca="false">G339*G341</f>
        <v>41.6853</v>
      </c>
      <c r="H342" s="37" t="n">
        <f aca="false">H339*H341</f>
        <v>34.73775</v>
      </c>
      <c r="I342" s="37" t="n">
        <f aca="false">I339*I341</f>
        <v>27.7902</v>
      </c>
      <c r="J342" s="37" t="n">
        <f aca="false">J339*J341</f>
        <v>20.84265</v>
      </c>
      <c r="K342" s="37" t="n">
        <f aca="false">K339*K341</f>
        <v>13.8951</v>
      </c>
      <c r="L342" s="37" t="n">
        <f aca="false">L339*L341</f>
        <v>6.94755</v>
      </c>
      <c r="M342" s="37" t="n">
        <f aca="false">M339*M341</f>
        <v>0</v>
      </c>
    </row>
    <row r="343" customFormat="false" ht="15" hidden="false" customHeight="false" outlineLevel="0" collapsed="false">
      <c r="A343" s="26" t="s">
        <v>180</v>
      </c>
      <c r="B343" s="36" t="s">
        <v>55</v>
      </c>
      <c r="C343" s="37" t="n">
        <f aca="false">0</f>
        <v>0</v>
      </c>
      <c r="D343" s="37" t="n">
        <f aca="false">IF(AND(Inputs!D$6&gt;Inputs!$C$22,Inputs!D$6&lt;=Inputs!$C$22+Inputs!$C$23),MIN(D339,$C$297/Inputs!$C$23),0)</f>
        <v>0</v>
      </c>
      <c r="E343" s="37" t="n">
        <f aca="false">IF(AND(Inputs!E$6&gt;Inputs!$C$22,Inputs!E$6&lt;=Inputs!$C$22+Inputs!$C$23),MIN(E339,$C$297/Inputs!$C$23),0)</f>
        <v>0</v>
      </c>
      <c r="F343" s="37" t="n">
        <f aca="false">IF(AND(Inputs!F$6&gt;Inputs!$C$22,Inputs!F$6&lt;=Inputs!$C$22+Inputs!$C$23),MIN(F339,$C$297/Inputs!$C$23),0)</f>
        <v>66.1671428571429</v>
      </c>
      <c r="G343" s="37" t="n">
        <f aca="false">IF(AND(Inputs!G$6&gt;Inputs!$C$22,Inputs!G$6&lt;=Inputs!$C$22+Inputs!$C$23),MIN(G339,$C$297/Inputs!$C$23),0)</f>
        <v>66.1671428571429</v>
      </c>
      <c r="H343" s="37" t="n">
        <f aca="false">IF(AND(Inputs!H$6&gt;Inputs!$C$22,Inputs!H$6&lt;=Inputs!$C$22+Inputs!$C$23),MIN(H339,$C$297/Inputs!$C$23),0)</f>
        <v>66.1671428571429</v>
      </c>
      <c r="I343" s="37" t="n">
        <f aca="false">IF(AND(Inputs!I$6&gt;Inputs!$C$22,Inputs!I$6&lt;=Inputs!$C$22+Inputs!$C$23),MIN(I339,$C$297/Inputs!$C$23),0)</f>
        <v>66.1671428571429</v>
      </c>
      <c r="J343" s="37" t="n">
        <f aca="false">IF(AND(Inputs!J$6&gt;Inputs!$C$22,Inputs!J$6&lt;=Inputs!$C$22+Inputs!$C$23),MIN(J339,$C$297/Inputs!$C$23),0)</f>
        <v>66.1671428571429</v>
      </c>
      <c r="K343" s="37" t="n">
        <f aca="false">IF(AND(Inputs!K$6&gt;Inputs!$C$22,Inputs!K$6&lt;=Inputs!$C$22+Inputs!$C$23),MIN(K339,$C$297/Inputs!$C$23),0)</f>
        <v>66.1671428571429</v>
      </c>
      <c r="L343" s="37" t="n">
        <f aca="false">IF(AND(Inputs!L$6&gt;Inputs!$C$22,Inputs!L$6&lt;=Inputs!$C$22+Inputs!$C$23),MIN(L339,$C$297/Inputs!$C$23),0)</f>
        <v>66.1671428571429</v>
      </c>
      <c r="M343" s="37" t="n">
        <f aca="false">IF(AND(Inputs!M$6&gt;Inputs!$C$22,Inputs!M$6&lt;=Inputs!$C$22+Inputs!$C$23),MIN(M339,$C$297/Inputs!$C$23),0)</f>
        <v>0</v>
      </c>
    </row>
    <row r="344" customFormat="false" ht="15" hidden="false" customHeight="false" outlineLevel="0" collapsed="false">
      <c r="A344" s="9" t="s">
        <v>181</v>
      </c>
      <c r="B344" s="36" t="s">
        <v>55</v>
      </c>
      <c r="C344" s="38" t="n">
        <f aca="false">C339+C340-C343</f>
        <v>463.17</v>
      </c>
      <c r="D344" s="38" t="n">
        <f aca="false">D339+D340-D343</f>
        <v>463.17</v>
      </c>
      <c r="E344" s="38" t="n">
        <f aca="false">E339+E340-E343</f>
        <v>463.17</v>
      </c>
      <c r="F344" s="38" t="n">
        <f aca="false">F339+F340-F343</f>
        <v>397.002857142857</v>
      </c>
      <c r="G344" s="38" t="n">
        <f aca="false">G339+G340-G343</f>
        <v>330.835714285714</v>
      </c>
      <c r="H344" s="38" t="n">
        <f aca="false">H339+H340-H343</f>
        <v>264.668571428571</v>
      </c>
      <c r="I344" s="38" t="n">
        <f aca="false">I339+I340-I343</f>
        <v>198.501428571429</v>
      </c>
      <c r="J344" s="38" t="n">
        <f aca="false">J339+J340-J343</f>
        <v>132.334285714286</v>
      </c>
      <c r="K344" s="38" t="n">
        <f aca="false">K339+K340-K343</f>
        <v>66.1671428571429</v>
      </c>
      <c r="L344" s="38" t="n">
        <f aca="false">L339+L340-L343</f>
        <v>0</v>
      </c>
      <c r="M344" s="38" t="n">
        <f aca="false">M339+M340-M343</f>
        <v>0</v>
      </c>
    </row>
    <row r="345" customFormat="false" ht="15" hidden="false" customHeight="false" outlineLevel="0" collapsed="false">
      <c r="A345" s="24" t="s">
        <v>282</v>
      </c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</row>
    <row r="346" customFormat="false" ht="15" hidden="false" customHeight="false" outlineLevel="0" collapsed="false">
      <c r="A346" s="26" t="s">
        <v>152</v>
      </c>
      <c r="B346" s="36" t="s">
        <v>55</v>
      </c>
      <c r="D346" s="37" t="n">
        <f aca="false">D312</f>
        <v>148.5</v>
      </c>
      <c r="E346" s="37" t="n">
        <f aca="false">E312</f>
        <v>188.76</v>
      </c>
      <c r="F346" s="37" t="n">
        <f aca="false">F312</f>
        <v>232.0032</v>
      </c>
      <c r="G346" s="37" t="n">
        <f aca="false">G312</f>
        <v>259.843584</v>
      </c>
      <c r="H346" s="37" t="n">
        <f aca="false">H312</f>
        <v>270.23732736</v>
      </c>
      <c r="I346" s="37" t="n">
        <f aca="false">I312</f>
        <v>289.07672961024</v>
      </c>
      <c r="J346" s="37" t="n">
        <f aca="false">J312</f>
        <v>300.63979879465</v>
      </c>
      <c r="K346" s="37" t="n">
        <f aca="false">K312</f>
        <v>312.665390746436</v>
      </c>
      <c r="L346" s="37" t="n">
        <f aca="false">L312</f>
        <v>325.172006376293</v>
      </c>
      <c r="M346" s="37" t="n">
        <f aca="false">M312</f>
        <v>338.178886631345</v>
      </c>
    </row>
    <row r="347" customFormat="false" ht="15" hidden="false" customHeight="false" outlineLevel="0" collapsed="false">
      <c r="A347" s="26" t="s">
        <v>77</v>
      </c>
      <c r="B347" s="36" t="s">
        <v>55</v>
      </c>
      <c r="D347" s="37" t="n">
        <f aca="false">D322</f>
        <v>72.1853</v>
      </c>
      <c r="E347" s="37" t="n">
        <f aca="false">E322</f>
        <v>80.729225</v>
      </c>
      <c r="F347" s="37" t="n">
        <f aca="false">F322</f>
        <v>89.95313975</v>
      </c>
      <c r="G347" s="37" t="n">
        <f aca="false">G322</f>
        <v>97.091890145</v>
      </c>
      <c r="H347" s="37" t="n">
        <f aca="false">H322</f>
        <v>101.78951669705</v>
      </c>
      <c r="I347" s="37" t="n">
        <f aca="false">I322</f>
        <v>107.976894572757</v>
      </c>
      <c r="J347" s="37" t="n">
        <f aca="false">J322</f>
        <v>113.257108467344</v>
      </c>
      <c r="K347" s="37" t="n">
        <f aca="false">K322</f>
        <v>118.823558066995</v>
      </c>
      <c r="L347" s="37" t="n">
        <f aca="false">L322</f>
        <v>124.691958035998</v>
      </c>
      <c r="M347" s="37" t="n">
        <f aca="false">M322</f>
        <v>130.878895719735</v>
      </c>
    </row>
    <row r="348" customFormat="false" ht="15" hidden="false" customHeight="false" outlineLevel="0" collapsed="false">
      <c r="A348" s="9" t="s">
        <v>20</v>
      </c>
      <c r="B348" s="36" t="s">
        <v>55</v>
      </c>
      <c r="D348" s="38" t="n">
        <f aca="false">D346-D347</f>
        <v>76.3147</v>
      </c>
      <c r="E348" s="38" t="n">
        <f aca="false">E346-E347</f>
        <v>108.030775</v>
      </c>
      <c r="F348" s="38" t="n">
        <f aca="false">F346-F347</f>
        <v>142.05006025</v>
      </c>
      <c r="G348" s="38" t="n">
        <f aca="false">G346-G347</f>
        <v>162.751693855</v>
      </c>
      <c r="H348" s="38" t="n">
        <f aca="false">H346-H347</f>
        <v>168.44781066295</v>
      </c>
      <c r="I348" s="38" t="n">
        <f aca="false">I346-I347</f>
        <v>181.099835037483</v>
      </c>
      <c r="J348" s="38" t="n">
        <f aca="false">J346-J347</f>
        <v>187.382690327306</v>
      </c>
      <c r="K348" s="38" t="n">
        <f aca="false">K346-K347</f>
        <v>193.841832679441</v>
      </c>
      <c r="L348" s="38" t="n">
        <f aca="false">L346-L347</f>
        <v>200.480048340295</v>
      </c>
      <c r="M348" s="38" t="n">
        <f aca="false">M346-M347</f>
        <v>207.29999091161</v>
      </c>
    </row>
    <row r="349" customFormat="false" ht="15" hidden="false" customHeight="false" outlineLevel="0" collapsed="false">
      <c r="A349" s="26" t="s">
        <v>184</v>
      </c>
      <c r="B349" s="36" t="s">
        <v>62</v>
      </c>
      <c r="D349" s="40" t="n">
        <f aca="false">IF(D346=0,0,D348/D346)</f>
        <v>0.513903703703704</v>
      </c>
      <c r="E349" s="40" t="n">
        <f aca="false">IF(E346=0,0,E348/E346)</f>
        <v>0.572318155329519</v>
      </c>
      <c r="F349" s="40" t="n">
        <f aca="false">IF(F346=0,0,F348/F346)</f>
        <v>0.61227629726659</v>
      </c>
      <c r="G349" s="40" t="n">
        <f aca="false">IF(G346=0,0,G348/G346)</f>
        <v>0.626344862357656</v>
      </c>
      <c r="H349" s="40" t="n">
        <f aca="false">IF(H346=0,0,H348/H346)</f>
        <v>0.623332876729314</v>
      </c>
      <c r="I349" s="40" t="n">
        <f aca="false">IF(I346=0,0,I348/I346)</f>
        <v>0.626476698009066</v>
      </c>
      <c r="J349" s="40" t="n">
        <f aca="false">IF(J346=0,0,J348/J346)</f>
        <v>0.623279722374004</v>
      </c>
      <c r="K349" s="40" t="n">
        <f aca="false">IF(K346=0,0,K348/K346)</f>
        <v>0.619965747461452</v>
      </c>
      <c r="L349" s="40" t="n">
        <f aca="false">IF(L346=0,0,L348/L346)</f>
        <v>0.616535385608493</v>
      </c>
      <c r="M349" s="40" t="n">
        <f aca="false">IF(M346=0,0,M348/M346)</f>
        <v>0.612989157828743</v>
      </c>
    </row>
    <row r="350" customFormat="false" ht="15" hidden="false" customHeight="false" outlineLevel="0" collapsed="false">
      <c r="A350" s="26" t="s">
        <v>185</v>
      </c>
      <c r="B350" s="36" t="s">
        <v>55</v>
      </c>
      <c r="D350" s="37" t="n">
        <f aca="false">D331</f>
        <v>42.48</v>
      </c>
      <c r="E350" s="37" t="n">
        <f aca="false">E331</f>
        <v>42.48</v>
      </c>
      <c r="F350" s="37" t="n">
        <f aca="false">F331</f>
        <v>42.48</v>
      </c>
      <c r="G350" s="37" t="n">
        <f aca="false">G331</f>
        <v>42.48</v>
      </c>
      <c r="H350" s="37" t="n">
        <f aca="false">H331</f>
        <v>42.48</v>
      </c>
      <c r="I350" s="37" t="n">
        <f aca="false">I331</f>
        <v>38.08</v>
      </c>
      <c r="J350" s="37" t="n">
        <f aca="false">J331</f>
        <v>38.08</v>
      </c>
      <c r="K350" s="37" t="n">
        <f aca="false">K331</f>
        <v>38.08</v>
      </c>
      <c r="L350" s="37" t="n">
        <f aca="false">L331</f>
        <v>38.08</v>
      </c>
      <c r="M350" s="37" t="n">
        <f aca="false">M331</f>
        <v>38.08</v>
      </c>
    </row>
    <row r="351" customFormat="false" ht="15" hidden="false" customHeight="false" outlineLevel="0" collapsed="false">
      <c r="A351" s="9" t="s">
        <v>186</v>
      </c>
      <c r="B351" s="36" t="s">
        <v>55</v>
      </c>
      <c r="D351" s="43" t="n">
        <f aca="false">D348-D350</f>
        <v>33.8347</v>
      </c>
      <c r="E351" s="43" t="n">
        <f aca="false">E348-E350</f>
        <v>65.550775</v>
      </c>
      <c r="F351" s="43" t="n">
        <f aca="false">F348-F350</f>
        <v>99.57006025</v>
      </c>
      <c r="G351" s="43" t="n">
        <f aca="false">G348-G350</f>
        <v>120.271693855</v>
      </c>
      <c r="H351" s="43" t="n">
        <f aca="false">H348-H350</f>
        <v>125.96781066295</v>
      </c>
      <c r="I351" s="43" t="n">
        <f aca="false">I348-I350</f>
        <v>143.019835037483</v>
      </c>
      <c r="J351" s="43" t="n">
        <f aca="false">J348-J350</f>
        <v>149.302690327306</v>
      </c>
      <c r="K351" s="43" t="n">
        <f aca="false">K348-K350</f>
        <v>155.761832679441</v>
      </c>
      <c r="L351" s="43" t="n">
        <f aca="false">L348-L350</f>
        <v>162.400048340295</v>
      </c>
      <c r="M351" s="43" t="n">
        <f aca="false">M348-M350</f>
        <v>169.21999091161</v>
      </c>
    </row>
    <row r="352" customFormat="false" ht="15" hidden="false" customHeight="false" outlineLevel="0" collapsed="false">
      <c r="A352" s="26" t="s">
        <v>187</v>
      </c>
      <c r="B352" s="36" t="s">
        <v>55</v>
      </c>
      <c r="D352" s="37" t="n">
        <f aca="false">D342</f>
        <v>48.63285</v>
      </c>
      <c r="E352" s="37" t="n">
        <f aca="false">E342</f>
        <v>48.63285</v>
      </c>
      <c r="F352" s="37" t="n">
        <f aca="false">F342</f>
        <v>48.63285</v>
      </c>
      <c r="G352" s="37" t="n">
        <f aca="false">G342</f>
        <v>41.6853</v>
      </c>
      <c r="H352" s="37" t="n">
        <f aca="false">H342</f>
        <v>34.73775</v>
      </c>
      <c r="I352" s="37" t="n">
        <f aca="false">I342</f>
        <v>27.7902</v>
      </c>
      <c r="J352" s="37" t="n">
        <f aca="false">J342</f>
        <v>20.84265</v>
      </c>
      <c r="K352" s="37" t="n">
        <f aca="false">K342</f>
        <v>13.8951</v>
      </c>
      <c r="L352" s="37" t="n">
        <f aca="false">L342</f>
        <v>6.94755</v>
      </c>
      <c r="M352" s="37" t="n">
        <f aca="false">M342</f>
        <v>0</v>
      </c>
    </row>
    <row r="353" customFormat="false" ht="15" hidden="false" customHeight="false" outlineLevel="0" collapsed="false">
      <c r="A353" s="9" t="s">
        <v>188</v>
      </c>
      <c r="B353" s="36" t="s">
        <v>55</v>
      </c>
      <c r="D353" s="38" t="n">
        <f aca="false">D351-D352</f>
        <v>-14.79815</v>
      </c>
      <c r="E353" s="38" t="n">
        <f aca="false">E351-E352</f>
        <v>16.917925</v>
      </c>
      <c r="F353" s="38" t="n">
        <f aca="false">F351-F352</f>
        <v>50.93721025</v>
      </c>
      <c r="G353" s="38" t="n">
        <f aca="false">G351-G352</f>
        <v>78.586393855</v>
      </c>
      <c r="H353" s="38" t="n">
        <f aca="false">H351-H352</f>
        <v>91.2300606629501</v>
      </c>
      <c r="I353" s="38" t="n">
        <f aca="false">I351-I352</f>
        <v>115.229635037483</v>
      </c>
      <c r="J353" s="38" t="n">
        <f aca="false">J351-J352</f>
        <v>128.460040327306</v>
      </c>
      <c r="K353" s="38" t="n">
        <f aca="false">K351-K352</f>
        <v>141.866732679441</v>
      </c>
      <c r="L353" s="38" t="n">
        <f aca="false">L351-L352</f>
        <v>155.452498340295</v>
      </c>
      <c r="M353" s="38" t="n">
        <f aca="false">M351-M352</f>
        <v>169.21999091161</v>
      </c>
    </row>
    <row r="354" customFormat="false" ht="15" hidden="false" customHeight="false" outlineLevel="0" collapsed="false">
      <c r="A354" s="26" t="s">
        <v>189</v>
      </c>
      <c r="B354" s="36" t="s">
        <v>55</v>
      </c>
      <c r="D354" s="37" t="n">
        <f aca="false">0</f>
        <v>0</v>
      </c>
      <c r="E354" s="37" t="n">
        <f aca="false">D356</f>
        <v>14.79815</v>
      </c>
      <c r="F354" s="37" t="n">
        <f aca="false">E356</f>
        <v>0</v>
      </c>
      <c r="G354" s="37" t="n">
        <f aca="false">F356</f>
        <v>0</v>
      </c>
      <c r="H354" s="37" t="n">
        <f aca="false">G356</f>
        <v>0</v>
      </c>
      <c r="I354" s="37" t="n">
        <f aca="false">H356</f>
        <v>0</v>
      </c>
      <c r="J354" s="37" t="n">
        <f aca="false">I356</f>
        <v>0</v>
      </c>
      <c r="K354" s="37" t="n">
        <f aca="false">J356</f>
        <v>0</v>
      </c>
      <c r="L354" s="37" t="n">
        <f aca="false">K356</f>
        <v>0</v>
      </c>
      <c r="M354" s="37" t="n">
        <f aca="false">L356</f>
        <v>0</v>
      </c>
    </row>
    <row r="355" customFormat="false" ht="15" hidden="false" customHeight="false" outlineLevel="0" collapsed="false">
      <c r="A355" s="26" t="s">
        <v>190</v>
      </c>
      <c r="B355" s="36" t="s">
        <v>55</v>
      </c>
      <c r="D355" s="37" t="n">
        <f aca="false">MAX(0,D353-D354)</f>
        <v>0</v>
      </c>
      <c r="E355" s="37" t="n">
        <f aca="false">MAX(0,E353-E354)</f>
        <v>2.119775</v>
      </c>
      <c r="F355" s="37" t="n">
        <f aca="false">MAX(0,F353-F354)</f>
        <v>50.93721025</v>
      </c>
      <c r="G355" s="37" t="n">
        <f aca="false">MAX(0,G353-G354)</f>
        <v>78.586393855</v>
      </c>
      <c r="H355" s="37" t="n">
        <f aca="false">MAX(0,H353-H354)</f>
        <v>91.2300606629501</v>
      </c>
      <c r="I355" s="37" t="n">
        <f aca="false">MAX(0,I353-I354)</f>
        <v>115.229635037483</v>
      </c>
      <c r="J355" s="37" t="n">
        <f aca="false">MAX(0,J353-J354)</f>
        <v>128.460040327306</v>
      </c>
      <c r="K355" s="37" t="n">
        <f aca="false">MAX(0,K353-K354)</f>
        <v>141.866732679441</v>
      </c>
      <c r="L355" s="37" t="n">
        <f aca="false">MAX(0,L353-L354)</f>
        <v>155.452498340295</v>
      </c>
      <c r="M355" s="37" t="n">
        <f aca="false">MAX(0,M353-M354)</f>
        <v>169.21999091161</v>
      </c>
    </row>
    <row r="356" customFormat="false" ht="15" hidden="false" customHeight="false" outlineLevel="0" collapsed="false">
      <c r="A356" s="26" t="s">
        <v>191</v>
      </c>
      <c r="B356" s="36" t="s">
        <v>55</v>
      </c>
      <c r="D356" s="37" t="n">
        <f aca="false">MAX(0,D354-D353)</f>
        <v>14.79815</v>
      </c>
      <c r="E356" s="37" t="n">
        <f aca="false">MAX(0,E354-E353)</f>
        <v>0</v>
      </c>
      <c r="F356" s="37" t="n">
        <f aca="false">MAX(0,F354-F353)</f>
        <v>0</v>
      </c>
      <c r="G356" s="37" t="n">
        <f aca="false">MAX(0,G354-G353)</f>
        <v>0</v>
      </c>
      <c r="H356" s="37" t="n">
        <f aca="false">MAX(0,H354-H353)</f>
        <v>0</v>
      </c>
      <c r="I356" s="37" t="n">
        <f aca="false">MAX(0,I354-I353)</f>
        <v>0</v>
      </c>
      <c r="J356" s="37" t="n">
        <f aca="false">MAX(0,J354-J353)</f>
        <v>0</v>
      </c>
      <c r="K356" s="37" t="n">
        <f aca="false">MAX(0,K354-K353)</f>
        <v>0</v>
      </c>
      <c r="L356" s="37" t="n">
        <f aca="false">MAX(0,L354-L353)</f>
        <v>0</v>
      </c>
      <c r="M356" s="37" t="n">
        <f aca="false">MAX(0,M354-M353)</f>
        <v>0</v>
      </c>
    </row>
    <row r="357" customFormat="false" ht="15" hidden="false" customHeight="false" outlineLevel="0" collapsed="false">
      <c r="A357" s="26" t="s">
        <v>192</v>
      </c>
      <c r="B357" s="36" t="s">
        <v>55</v>
      </c>
      <c r="D357" s="37" t="n">
        <f aca="false">D355*Inputs!$C$44</f>
        <v>0</v>
      </c>
      <c r="E357" s="37" t="n">
        <f aca="false">E355*Inputs!$C$44</f>
        <v>0.533547367500001</v>
      </c>
      <c r="F357" s="37" t="n">
        <f aca="false">F355*Inputs!$C$44</f>
        <v>12.820895819925</v>
      </c>
      <c r="G357" s="37" t="n">
        <f aca="false">G355*Inputs!$C$44</f>
        <v>19.7801953333035</v>
      </c>
      <c r="H357" s="37" t="n">
        <f aca="false">H355*Inputs!$C$44</f>
        <v>22.9626062688645</v>
      </c>
      <c r="I357" s="37" t="n">
        <f aca="false">I355*Inputs!$C$44</f>
        <v>29.0032991389344</v>
      </c>
      <c r="J357" s="37" t="n">
        <f aca="false">J355*Inputs!$C$44</f>
        <v>32.3333921503828</v>
      </c>
      <c r="K357" s="37" t="n">
        <f aca="false">K355*Inputs!$C$44</f>
        <v>35.7078566154153</v>
      </c>
      <c r="L357" s="37" t="n">
        <f aca="false">L355*Inputs!$C$44</f>
        <v>39.1273938322523</v>
      </c>
      <c r="M357" s="37" t="n">
        <f aca="false">M355*Inputs!$C$44</f>
        <v>42.5926717124523</v>
      </c>
    </row>
    <row r="358" customFormat="false" ht="15" hidden="false" customHeight="false" outlineLevel="0" collapsed="false">
      <c r="A358" s="9" t="s">
        <v>193</v>
      </c>
      <c r="B358" s="36" t="s">
        <v>55</v>
      </c>
      <c r="D358" s="38" t="n">
        <f aca="false">D353-D357</f>
        <v>-14.79815</v>
      </c>
      <c r="E358" s="38" t="n">
        <f aca="false">E353-E357</f>
        <v>16.3843776325</v>
      </c>
      <c r="F358" s="38" t="n">
        <f aca="false">F353-F357</f>
        <v>38.116314430075</v>
      </c>
      <c r="G358" s="38" t="n">
        <f aca="false">G353-G357</f>
        <v>58.8061985216965</v>
      </c>
      <c r="H358" s="38" t="n">
        <f aca="false">H353-H357</f>
        <v>68.2674543940856</v>
      </c>
      <c r="I358" s="38" t="n">
        <f aca="false">I353-I357</f>
        <v>86.2263358985484</v>
      </c>
      <c r="J358" s="38" t="n">
        <f aca="false">J353-J357</f>
        <v>96.1266481769228</v>
      </c>
      <c r="K358" s="38" t="n">
        <f aca="false">K353-K357</f>
        <v>106.158876064026</v>
      </c>
      <c r="L358" s="38" t="n">
        <f aca="false">L353-L357</f>
        <v>116.325104508043</v>
      </c>
      <c r="M358" s="38" t="n">
        <f aca="false">M353-M357</f>
        <v>126.627319199158</v>
      </c>
    </row>
    <row r="359" customFormat="false" ht="15" hidden="false" customHeight="false" outlineLevel="0" collapsed="false">
      <c r="A359" s="24" t="s">
        <v>283</v>
      </c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</row>
    <row r="360" customFormat="false" ht="15" hidden="false" customHeight="false" outlineLevel="0" collapsed="false">
      <c r="A360" s="26" t="s">
        <v>193</v>
      </c>
      <c r="B360" s="36" t="s">
        <v>55</v>
      </c>
      <c r="C360" s="37" t="n">
        <f aca="false">0</f>
        <v>0</v>
      </c>
      <c r="D360" s="37" t="n">
        <f aca="false">D358</f>
        <v>-14.79815</v>
      </c>
      <c r="E360" s="37" t="n">
        <f aca="false">E358</f>
        <v>16.3843776325</v>
      </c>
      <c r="F360" s="37" t="n">
        <f aca="false">F358</f>
        <v>38.116314430075</v>
      </c>
      <c r="G360" s="37" t="n">
        <f aca="false">G358</f>
        <v>58.8061985216965</v>
      </c>
      <c r="H360" s="37" t="n">
        <f aca="false">H358</f>
        <v>68.2674543940856</v>
      </c>
      <c r="I360" s="37" t="n">
        <f aca="false">I358</f>
        <v>86.2263358985484</v>
      </c>
      <c r="J360" s="37" t="n">
        <f aca="false">J358</f>
        <v>96.1266481769228</v>
      </c>
      <c r="K360" s="37" t="n">
        <f aca="false">K358</f>
        <v>106.158876064026</v>
      </c>
      <c r="L360" s="37" t="n">
        <f aca="false">L358</f>
        <v>116.325104508043</v>
      </c>
      <c r="M360" s="37" t="n">
        <f aca="false">M358</f>
        <v>126.627319199158</v>
      </c>
    </row>
    <row r="361" customFormat="false" ht="15" hidden="false" customHeight="false" outlineLevel="0" collapsed="false">
      <c r="A361" s="26" t="s">
        <v>196</v>
      </c>
      <c r="B361" s="36" t="s">
        <v>55</v>
      </c>
      <c r="C361" s="37" t="n">
        <f aca="false">0</f>
        <v>0</v>
      </c>
      <c r="D361" s="37" t="n">
        <f aca="false">D331</f>
        <v>42.48</v>
      </c>
      <c r="E361" s="37" t="n">
        <f aca="false">E331</f>
        <v>42.48</v>
      </c>
      <c r="F361" s="37" t="n">
        <f aca="false">F331</f>
        <v>42.48</v>
      </c>
      <c r="G361" s="37" t="n">
        <f aca="false">G331</f>
        <v>42.48</v>
      </c>
      <c r="H361" s="37" t="n">
        <f aca="false">H331</f>
        <v>42.48</v>
      </c>
      <c r="I361" s="37" t="n">
        <f aca="false">I331</f>
        <v>38.08</v>
      </c>
      <c r="J361" s="37" t="n">
        <f aca="false">J331</f>
        <v>38.08</v>
      </c>
      <c r="K361" s="37" t="n">
        <f aca="false">K331</f>
        <v>38.08</v>
      </c>
      <c r="L361" s="37" t="n">
        <f aca="false">L331</f>
        <v>38.08</v>
      </c>
      <c r="M361" s="37" t="n">
        <f aca="false">M331</f>
        <v>38.08</v>
      </c>
    </row>
    <row r="362" customFormat="false" ht="15" hidden="false" customHeight="false" outlineLevel="0" collapsed="false">
      <c r="A362" s="26" t="s">
        <v>197</v>
      </c>
      <c r="B362" s="36" t="s">
        <v>55</v>
      </c>
      <c r="C362" s="37" t="n">
        <f aca="false">0</f>
        <v>0</v>
      </c>
      <c r="D362" s="37" t="n">
        <f aca="false">-(D335-C335)</f>
        <v>-18.3082191780822</v>
      </c>
      <c r="E362" s="37" t="n">
        <f aca="false">-(E335-D335)</f>
        <v>-4.96356164383561</v>
      </c>
      <c r="F362" s="37" t="n">
        <f aca="false">-(F335-E335)</f>
        <v>-5.33135342465754</v>
      </c>
      <c r="G362" s="37" t="n">
        <f aca="false">-(G335-F335)</f>
        <v>-3.43237610958904</v>
      </c>
      <c r="H362" s="37" t="n">
        <f aca="false">-(H335-G335)</f>
        <v>-1.28142041424659</v>
      </c>
      <c r="I362" s="37" t="n">
        <f aca="false">-(I335-H335)</f>
        <v>-2.32266603085149</v>
      </c>
      <c r="J362" s="37" t="n">
        <f aca="false">-(J335-I335)</f>
        <v>-1.42558387205051</v>
      </c>
      <c r="K362" s="37" t="n">
        <f aca="false">-(K335-J335)</f>
        <v>-1.4826072269325</v>
      </c>
      <c r="L362" s="37" t="n">
        <f aca="false">-(L335-K335)</f>
        <v>-1.54191151600983</v>
      </c>
      <c r="M362" s="37" t="n">
        <f aca="false">-(M335-L335)</f>
        <v>-1.60358797665022</v>
      </c>
    </row>
    <row r="363" customFormat="false" ht="15" hidden="false" customHeight="false" outlineLevel="0" collapsed="false">
      <c r="A363" s="26" t="s">
        <v>198</v>
      </c>
      <c r="B363" s="36" t="s">
        <v>55</v>
      </c>
      <c r="C363" s="37" t="n">
        <f aca="false">0</f>
        <v>0</v>
      </c>
      <c r="D363" s="37" t="n">
        <f aca="false">D336-C336</f>
        <v>5.93303835616438</v>
      </c>
      <c r="E363" s="37" t="n">
        <f aca="false">E336-D336</f>
        <v>0.702240410958903</v>
      </c>
      <c r="F363" s="37" t="n">
        <f aca="false">F336-E336</f>
        <v>0.758129979452056</v>
      </c>
      <c r="G363" s="37" t="n">
        <f aca="false">G336-F336</f>
        <v>0.58674660780822</v>
      </c>
      <c r="H363" s="37" t="n">
        <f aca="false">H336-G336</f>
        <v>0.386106291949318</v>
      </c>
      <c r="I363" s="37" t="n">
        <f aca="false">I336-H336</f>
        <v>0.508551606222508</v>
      </c>
      <c r="J363" s="37" t="n">
        <f aca="false">J336-I336</f>
        <v>0.433990183116723</v>
      </c>
      <c r="K363" s="37" t="n">
        <f aca="false">K336-J336</f>
        <v>0.457516405450745</v>
      </c>
      <c r="L363" s="37" t="n">
        <f aca="false">L336-K336</f>
        <v>0.482334244027649</v>
      </c>
      <c r="M363" s="37" t="n">
        <f aca="false">M336-L336</f>
        <v>0.508515426060562</v>
      </c>
    </row>
    <row r="364" customFormat="false" ht="15" hidden="false" customHeight="false" outlineLevel="0" collapsed="false">
      <c r="A364" s="9" t="s">
        <v>199</v>
      </c>
      <c r="B364" s="36" t="s">
        <v>55</v>
      </c>
      <c r="C364" s="38" t="n">
        <f aca="false">SUM(C360:C363)</f>
        <v>0</v>
      </c>
      <c r="D364" s="38" t="n">
        <f aca="false">SUM(D360:D363)</f>
        <v>15.3066691780822</v>
      </c>
      <c r="E364" s="38" t="n">
        <f aca="false">SUM(E360:E363)</f>
        <v>54.6030563996233</v>
      </c>
      <c r="F364" s="38" t="n">
        <f aca="false">SUM(F360:F363)</f>
        <v>76.0230909848695</v>
      </c>
      <c r="G364" s="38" t="n">
        <f aca="false">SUM(G360:G363)</f>
        <v>98.4405690199157</v>
      </c>
      <c r="H364" s="38" t="n">
        <f aca="false">SUM(H360:H363)</f>
        <v>109.852140271788</v>
      </c>
      <c r="I364" s="38" t="n">
        <f aca="false">SUM(I360:I363)</f>
        <v>122.492221473919</v>
      </c>
      <c r="J364" s="38" t="n">
        <f aca="false">SUM(J360:J363)</f>
        <v>133.215054487989</v>
      </c>
      <c r="K364" s="38" t="n">
        <f aca="false">SUM(K360:K363)</f>
        <v>143.213785242544</v>
      </c>
      <c r="L364" s="38" t="n">
        <f aca="false">SUM(L360:L363)</f>
        <v>153.345527236061</v>
      </c>
      <c r="M364" s="38" t="n">
        <f aca="false">SUM(M360:M363)</f>
        <v>163.612246648568</v>
      </c>
    </row>
    <row r="365" customFormat="false" ht="15" hidden="false" customHeight="false" outlineLevel="0" collapsed="false">
      <c r="A365" s="26" t="s">
        <v>200</v>
      </c>
      <c r="B365" s="36" t="s">
        <v>55</v>
      </c>
      <c r="C365" s="37" t="n">
        <f aca="false">-C292</f>
        <v>-753.95</v>
      </c>
      <c r="D365" s="37" t="n">
        <f aca="false">0</f>
        <v>0</v>
      </c>
      <c r="E365" s="37" t="n">
        <f aca="false">0</f>
        <v>0</v>
      </c>
      <c r="F365" s="37" t="n">
        <f aca="false">0</f>
        <v>0</v>
      </c>
      <c r="G365" s="37" t="n">
        <f aca="false">0</f>
        <v>0</v>
      </c>
      <c r="H365" s="37" t="n">
        <f aca="false">0</f>
        <v>0</v>
      </c>
      <c r="I365" s="37" t="n">
        <f aca="false">0</f>
        <v>0</v>
      </c>
      <c r="J365" s="37" t="n">
        <f aca="false">0</f>
        <v>0</v>
      </c>
      <c r="K365" s="37" t="n">
        <f aca="false">0</f>
        <v>0</v>
      </c>
      <c r="L365" s="37" t="n">
        <f aca="false">0</f>
        <v>0</v>
      </c>
      <c r="M365" s="37" t="n">
        <f aca="false">0</f>
        <v>0</v>
      </c>
    </row>
    <row r="366" customFormat="false" ht="15" hidden="false" customHeight="false" outlineLevel="0" collapsed="false">
      <c r="A366" s="9" t="s">
        <v>201</v>
      </c>
      <c r="B366" s="36" t="s">
        <v>55</v>
      </c>
      <c r="C366" s="43" t="n">
        <f aca="false">C365</f>
        <v>-753.95</v>
      </c>
      <c r="D366" s="43" t="n">
        <f aca="false">D365</f>
        <v>0</v>
      </c>
      <c r="E366" s="43" t="n">
        <f aca="false">E365</f>
        <v>0</v>
      </c>
      <c r="F366" s="43" t="n">
        <f aca="false">F365</f>
        <v>0</v>
      </c>
      <c r="G366" s="43" t="n">
        <f aca="false">G365</f>
        <v>0</v>
      </c>
      <c r="H366" s="43" t="n">
        <f aca="false">H365</f>
        <v>0</v>
      </c>
      <c r="I366" s="43" t="n">
        <f aca="false">I365</f>
        <v>0</v>
      </c>
      <c r="J366" s="43" t="n">
        <f aca="false">J365</f>
        <v>0</v>
      </c>
      <c r="K366" s="43" t="n">
        <f aca="false">K365</f>
        <v>0</v>
      </c>
      <c r="L366" s="43" t="n">
        <f aca="false">L365</f>
        <v>0</v>
      </c>
      <c r="M366" s="43" t="n">
        <f aca="false">M365</f>
        <v>0</v>
      </c>
    </row>
    <row r="367" customFormat="false" ht="15" hidden="false" customHeight="false" outlineLevel="0" collapsed="false">
      <c r="A367" s="26" t="s">
        <v>202</v>
      </c>
      <c r="B367" s="36" t="s">
        <v>55</v>
      </c>
      <c r="C367" s="37" t="n">
        <f aca="false">C298</f>
        <v>308.78</v>
      </c>
      <c r="D367" s="37" t="n">
        <f aca="false">0</f>
        <v>0</v>
      </c>
      <c r="E367" s="37" t="n">
        <f aca="false">0</f>
        <v>0</v>
      </c>
      <c r="F367" s="37" t="n">
        <f aca="false">0</f>
        <v>0</v>
      </c>
      <c r="G367" s="37" t="n">
        <f aca="false">0</f>
        <v>0</v>
      </c>
      <c r="H367" s="37" t="n">
        <f aca="false">0</f>
        <v>0</v>
      </c>
      <c r="I367" s="37" t="n">
        <f aca="false">0</f>
        <v>0</v>
      </c>
      <c r="J367" s="37" t="n">
        <f aca="false">0</f>
        <v>0</v>
      </c>
      <c r="K367" s="37" t="n">
        <f aca="false">0</f>
        <v>0</v>
      </c>
      <c r="L367" s="37" t="n">
        <f aca="false">0</f>
        <v>0</v>
      </c>
      <c r="M367" s="37" t="n">
        <f aca="false">0</f>
        <v>0</v>
      </c>
    </row>
    <row r="368" customFormat="false" ht="15" hidden="false" customHeight="false" outlineLevel="0" collapsed="false">
      <c r="A368" s="26" t="s">
        <v>203</v>
      </c>
      <c r="B368" s="36" t="s">
        <v>55</v>
      </c>
      <c r="C368" s="37" t="n">
        <f aca="false">C340</f>
        <v>463.17</v>
      </c>
      <c r="D368" s="37" t="n">
        <f aca="false">D340</f>
        <v>0</v>
      </c>
      <c r="E368" s="37" t="n">
        <f aca="false">E340</f>
        <v>0</v>
      </c>
      <c r="F368" s="37" t="n">
        <f aca="false">F340</f>
        <v>0</v>
      </c>
      <c r="G368" s="37" t="n">
        <f aca="false">G340</f>
        <v>0</v>
      </c>
      <c r="H368" s="37" t="n">
        <f aca="false">H340</f>
        <v>0</v>
      </c>
      <c r="I368" s="37" t="n">
        <f aca="false">I340</f>
        <v>0</v>
      </c>
      <c r="J368" s="37" t="n">
        <f aca="false">J340</f>
        <v>0</v>
      </c>
      <c r="K368" s="37" t="n">
        <f aca="false">K340</f>
        <v>0</v>
      </c>
      <c r="L368" s="37" t="n">
        <f aca="false">L340</f>
        <v>0</v>
      </c>
      <c r="M368" s="37" t="n">
        <f aca="false">M340</f>
        <v>0</v>
      </c>
    </row>
    <row r="369" customFormat="false" ht="15" hidden="false" customHeight="false" outlineLevel="0" collapsed="false">
      <c r="A369" s="26" t="s">
        <v>204</v>
      </c>
      <c r="B369" s="36" t="s">
        <v>55</v>
      </c>
      <c r="C369" s="37" t="n">
        <f aca="false">-C343</f>
        <v>-0</v>
      </c>
      <c r="D369" s="37" t="n">
        <f aca="false">-D343</f>
        <v>-0</v>
      </c>
      <c r="E369" s="37" t="n">
        <f aca="false">-E343</f>
        <v>-0</v>
      </c>
      <c r="F369" s="37" t="n">
        <f aca="false">-F343</f>
        <v>-66.1671428571429</v>
      </c>
      <c r="G369" s="37" t="n">
        <f aca="false">-G343</f>
        <v>-66.1671428571429</v>
      </c>
      <c r="H369" s="37" t="n">
        <f aca="false">-H343</f>
        <v>-66.1671428571429</v>
      </c>
      <c r="I369" s="37" t="n">
        <f aca="false">-I343</f>
        <v>-66.1671428571429</v>
      </c>
      <c r="J369" s="37" t="n">
        <f aca="false">-J343</f>
        <v>-66.1671428571429</v>
      </c>
      <c r="K369" s="37" t="n">
        <f aca="false">-K343</f>
        <v>-66.1671428571429</v>
      </c>
      <c r="L369" s="37" t="n">
        <f aca="false">-L343</f>
        <v>-66.1671428571429</v>
      </c>
      <c r="M369" s="37" t="n">
        <f aca="false">-M343</f>
        <v>-0</v>
      </c>
    </row>
    <row r="370" customFormat="false" ht="15" hidden="false" customHeight="false" outlineLevel="0" collapsed="false">
      <c r="A370" s="9" t="s">
        <v>205</v>
      </c>
      <c r="B370" s="36" t="s">
        <v>55</v>
      </c>
      <c r="C370" s="38" t="n">
        <f aca="false">SUM(C367:C369)</f>
        <v>771.95</v>
      </c>
      <c r="D370" s="38" t="n">
        <f aca="false">SUM(D367:D369)</f>
        <v>0</v>
      </c>
      <c r="E370" s="38" t="n">
        <f aca="false">SUM(E367:E369)</f>
        <v>0</v>
      </c>
      <c r="F370" s="38" t="n">
        <f aca="false">SUM(F367:F369)</f>
        <v>-66.1671428571429</v>
      </c>
      <c r="G370" s="38" t="n">
        <f aca="false">SUM(G367:G369)</f>
        <v>-66.1671428571429</v>
      </c>
      <c r="H370" s="38" t="n">
        <f aca="false">SUM(H367:H369)</f>
        <v>-66.1671428571429</v>
      </c>
      <c r="I370" s="38" t="n">
        <f aca="false">SUM(I367:I369)</f>
        <v>-66.1671428571429</v>
      </c>
      <c r="J370" s="38" t="n">
        <f aca="false">SUM(J367:J369)</f>
        <v>-66.1671428571429</v>
      </c>
      <c r="K370" s="38" t="n">
        <f aca="false">SUM(K367:K369)</f>
        <v>-66.1671428571429</v>
      </c>
      <c r="L370" s="38" t="n">
        <f aca="false">SUM(L367:L369)</f>
        <v>-66.1671428571429</v>
      </c>
      <c r="M370" s="38" t="n">
        <f aca="false">SUM(M367:M369)</f>
        <v>0</v>
      </c>
    </row>
    <row r="371" customFormat="false" ht="15" hidden="false" customHeight="false" outlineLevel="0" collapsed="false">
      <c r="A371" s="9" t="s">
        <v>206</v>
      </c>
      <c r="B371" s="36" t="s">
        <v>55</v>
      </c>
      <c r="C371" s="43" t="n">
        <f aca="false">C364+C366+C370</f>
        <v>18</v>
      </c>
      <c r="D371" s="43" t="n">
        <f aca="false">D364+D366+D370</f>
        <v>15.3066691780822</v>
      </c>
      <c r="E371" s="43" t="n">
        <f aca="false">E364+E366+E370</f>
        <v>54.6030563996233</v>
      </c>
      <c r="F371" s="43" t="n">
        <f aca="false">F364+F366+F370</f>
        <v>9.85594812772665</v>
      </c>
      <c r="G371" s="43" t="n">
        <f aca="false">G364+G366+G370</f>
        <v>32.2734261627728</v>
      </c>
      <c r="H371" s="43" t="n">
        <f aca="false">H364+H366+H370</f>
        <v>43.6849974146454</v>
      </c>
      <c r="I371" s="43" t="n">
        <f aca="false">I364+I366+I370</f>
        <v>56.3250786167766</v>
      </c>
      <c r="J371" s="43" t="n">
        <f aca="false">J364+J366+J370</f>
        <v>67.0479116308462</v>
      </c>
      <c r="K371" s="43" t="n">
        <f aca="false">K364+K366+K370</f>
        <v>77.046642385401</v>
      </c>
      <c r="L371" s="43" t="n">
        <f aca="false">L364+L366+L370</f>
        <v>87.1783843789179</v>
      </c>
      <c r="M371" s="43" t="n">
        <f aca="false">M364+M366+M370</f>
        <v>163.612246648568</v>
      </c>
    </row>
    <row r="372" customFormat="false" ht="15" hidden="false" customHeight="false" outlineLevel="0" collapsed="false">
      <c r="A372" s="26" t="s">
        <v>207</v>
      </c>
      <c r="B372" s="36" t="s">
        <v>55</v>
      </c>
      <c r="C372" s="37" t="n">
        <f aca="false">0</f>
        <v>0</v>
      </c>
      <c r="D372" s="37" t="n">
        <f aca="false">C373</f>
        <v>18</v>
      </c>
      <c r="E372" s="37" t="n">
        <f aca="false">D373</f>
        <v>33.3066691780822</v>
      </c>
      <c r="F372" s="37" t="n">
        <f aca="false">E373</f>
        <v>87.9097255777055</v>
      </c>
      <c r="G372" s="37" t="n">
        <f aca="false">F373</f>
        <v>97.7656737054321</v>
      </c>
      <c r="H372" s="37" t="n">
        <f aca="false">G373</f>
        <v>130.039099868205</v>
      </c>
      <c r="I372" s="37" t="n">
        <f aca="false">H373</f>
        <v>173.72409728285</v>
      </c>
      <c r="J372" s="37" t="n">
        <f aca="false">I373</f>
        <v>230.049175899627</v>
      </c>
      <c r="K372" s="37" t="n">
        <f aca="false">J373</f>
        <v>297.097087530473</v>
      </c>
      <c r="L372" s="37" t="n">
        <f aca="false">K373</f>
        <v>374.143729915874</v>
      </c>
      <c r="M372" s="37" t="n">
        <f aca="false">L373</f>
        <v>461.322114294792</v>
      </c>
    </row>
    <row r="373" customFormat="false" ht="15" hidden="false" customHeight="false" outlineLevel="0" collapsed="false">
      <c r="A373" s="9" t="s">
        <v>28</v>
      </c>
      <c r="B373" s="36" t="s">
        <v>55</v>
      </c>
      <c r="C373" s="38" t="n">
        <f aca="false">C372+C371</f>
        <v>18</v>
      </c>
      <c r="D373" s="38" t="n">
        <f aca="false">D372+D371</f>
        <v>33.3066691780822</v>
      </c>
      <c r="E373" s="38" t="n">
        <f aca="false">E372+E371</f>
        <v>87.9097255777055</v>
      </c>
      <c r="F373" s="38" t="n">
        <f aca="false">F372+F371</f>
        <v>97.7656737054321</v>
      </c>
      <c r="G373" s="38" t="n">
        <f aca="false">G372+G371</f>
        <v>130.039099868205</v>
      </c>
      <c r="H373" s="38" t="n">
        <f aca="false">H372+H371</f>
        <v>173.72409728285</v>
      </c>
      <c r="I373" s="38" t="n">
        <f aca="false">I372+I371</f>
        <v>230.049175899627</v>
      </c>
      <c r="J373" s="38" t="n">
        <f aca="false">J372+J371</f>
        <v>297.097087530473</v>
      </c>
      <c r="K373" s="38" t="n">
        <f aca="false">K372+K371</f>
        <v>374.143729915874</v>
      </c>
      <c r="L373" s="38" t="n">
        <f aca="false">L372+L371</f>
        <v>461.322114294792</v>
      </c>
      <c r="M373" s="38" t="n">
        <f aca="false">M372+M371</f>
        <v>624.93436094336</v>
      </c>
    </row>
    <row r="374" customFormat="false" ht="15" hidden="false" customHeight="false" outlineLevel="0" collapsed="false">
      <c r="A374" s="24" t="s">
        <v>284</v>
      </c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</row>
    <row r="375" customFormat="false" ht="15" hidden="false" customHeight="false" outlineLevel="0" collapsed="false">
      <c r="A375" s="26" t="s">
        <v>210</v>
      </c>
      <c r="B375" s="36" t="s">
        <v>55</v>
      </c>
      <c r="C375" s="37" t="n">
        <f aca="false">C332</f>
        <v>753.95</v>
      </c>
      <c r="D375" s="37" t="n">
        <f aca="false">D332</f>
        <v>711.47</v>
      </c>
      <c r="E375" s="37" t="n">
        <f aca="false">E332</f>
        <v>668.99</v>
      </c>
      <c r="F375" s="37" t="n">
        <f aca="false">F332</f>
        <v>626.51</v>
      </c>
      <c r="G375" s="37" t="n">
        <f aca="false">G332</f>
        <v>584.03</v>
      </c>
      <c r="H375" s="37" t="n">
        <f aca="false">H332</f>
        <v>541.55</v>
      </c>
      <c r="I375" s="37" t="n">
        <f aca="false">I332</f>
        <v>503.47</v>
      </c>
      <c r="J375" s="37" t="n">
        <f aca="false">J332</f>
        <v>465.39</v>
      </c>
      <c r="K375" s="37" t="n">
        <f aca="false">K332</f>
        <v>427.31</v>
      </c>
      <c r="L375" s="37" t="n">
        <f aca="false">L332</f>
        <v>389.23</v>
      </c>
      <c r="M375" s="37" t="n">
        <f aca="false">M332</f>
        <v>351.15</v>
      </c>
    </row>
    <row r="376" customFormat="false" ht="15" hidden="false" customHeight="false" outlineLevel="0" collapsed="false">
      <c r="A376" s="26" t="s">
        <v>171</v>
      </c>
      <c r="B376" s="36" t="s">
        <v>55</v>
      </c>
      <c r="C376" s="37" t="n">
        <f aca="false">C335</f>
        <v>0</v>
      </c>
      <c r="D376" s="37" t="n">
        <f aca="false">D335</f>
        <v>18.3082191780822</v>
      </c>
      <c r="E376" s="37" t="n">
        <f aca="false">E335</f>
        <v>23.2717808219178</v>
      </c>
      <c r="F376" s="37" t="n">
        <f aca="false">F335</f>
        <v>28.6031342465753</v>
      </c>
      <c r="G376" s="37" t="n">
        <f aca="false">G335</f>
        <v>32.0355103561644</v>
      </c>
      <c r="H376" s="37" t="n">
        <f aca="false">H335</f>
        <v>33.316930770411</v>
      </c>
      <c r="I376" s="37" t="n">
        <f aca="false">I335</f>
        <v>35.6395968012625</v>
      </c>
      <c r="J376" s="37" t="n">
        <f aca="false">J335</f>
        <v>37.065180673313</v>
      </c>
      <c r="K376" s="37" t="n">
        <f aca="false">K335</f>
        <v>38.5477879002455</v>
      </c>
      <c r="L376" s="37" t="n">
        <f aca="false">L335</f>
        <v>40.0896994162553</v>
      </c>
      <c r="M376" s="37" t="n">
        <f aca="false">M335</f>
        <v>41.6932873929055</v>
      </c>
    </row>
    <row r="377" customFormat="false" ht="15" hidden="false" customHeight="false" outlineLevel="0" collapsed="false">
      <c r="A377" s="26" t="s">
        <v>211</v>
      </c>
      <c r="B377" s="36" t="s">
        <v>55</v>
      </c>
      <c r="C377" s="37" t="n">
        <f aca="false">C373</f>
        <v>18</v>
      </c>
      <c r="D377" s="37" t="n">
        <f aca="false">D373</f>
        <v>33.3066691780822</v>
      </c>
      <c r="E377" s="37" t="n">
        <f aca="false">E373</f>
        <v>87.9097255777055</v>
      </c>
      <c r="F377" s="37" t="n">
        <f aca="false">F373</f>
        <v>97.7656737054321</v>
      </c>
      <c r="G377" s="37" t="n">
        <f aca="false">G373</f>
        <v>130.039099868205</v>
      </c>
      <c r="H377" s="37" t="n">
        <f aca="false">H373</f>
        <v>173.72409728285</v>
      </c>
      <c r="I377" s="37" t="n">
        <f aca="false">I373</f>
        <v>230.049175899627</v>
      </c>
      <c r="J377" s="37" t="n">
        <f aca="false">J373</f>
        <v>297.097087530473</v>
      </c>
      <c r="K377" s="37" t="n">
        <f aca="false">K373</f>
        <v>374.143729915874</v>
      </c>
      <c r="L377" s="37" t="n">
        <f aca="false">L373</f>
        <v>461.322114294792</v>
      </c>
      <c r="M377" s="37" t="n">
        <f aca="false">M373</f>
        <v>624.93436094336</v>
      </c>
    </row>
    <row r="378" customFormat="false" ht="15" hidden="false" customHeight="false" outlineLevel="0" collapsed="false">
      <c r="A378" s="9" t="s">
        <v>212</v>
      </c>
      <c r="B378" s="36" t="s">
        <v>55</v>
      </c>
      <c r="C378" s="38" t="n">
        <f aca="false">SUM(C375:C377)</f>
        <v>771.95</v>
      </c>
      <c r="D378" s="38" t="n">
        <f aca="false">SUM(D375:D377)</f>
        <v>763.084888356164</v>
      </c>
      <c r="E378" s="38" t="n">
        <f aca="false">SUM(E375:E377)</f>
        <v>780.171506399623</v>
      </c>
      <c r="F378" s="38" t="n">
        <f aca="false">SUM(F375:F377)</f>
        <v>752.878807952008</v>
      </c>
      <c r="G378" s="38" t="n">
        <f aca="false">SUM(G375:G377)</f>
        <v>746.104610224369</v>
      </c>
      <c r="H378" s="38" t="n">
        <f aca="false">SUM(H375:H377)</f>
        <v>748.591028053261</v>
      </c>
      <c r="I378" s="38" t="n">
        <f aca="false">SUM(I375:I377)</f>
        <v>769.158772700889</v>
      </c>
      <c r="J378" s="38" t="n">
        <f aca="false">SUM(J375:J377)</f>
        <v>799.552268203786</v>
      </c>
      <c r="K378" s="38" t="n">
        <f aca="false">SUM(K375:K377)</f>
        <v>840.00151781612</v>
      </c>
      <c r="L378" s="38" t="n">
        <f aca="false">SUM(L375:L377)</f>
        <v>890.641813711047</v>
      </c>
      <c r="M378" s="38" t="n">
        <f aca="false">SUM(M375:M377)</f>
        <v>1017.77764833627</v>
      </c>
    </row>
    <row r="379" customFormat="false" ht="15" hidden="false" customHeight="false" outlineLevel="0" collapsed="false">
      <c r="A379" s="26" t="s">
        <v>213</v>
      </c>
      <c r="B379" s="36" t="s">
        <v>55</v>
      </c>
      <c r="C379" s="37" t="n">
        <f aca="false">C367</f>
        <v>308.78</v>
      </c>
      <c r="D379" s="37" t="n">
        <f aca="false">C379+D367</f>
        <v>308.78</v>
      </c>
      <c r="E379" s="37" t="n">
        <f aca="false">D379+E367</f>
        <v>308.78</v>
      </c>
      <c r="F379" s="37" t="n">
        <f aca="false">E379+F367</f>
        <v>308.78</v>
      </c>
      <c r="G379" s="37" t="n">
        <f aca="false">F379+G367</f>
        <v>308.78</v>
      </c>
      <c r="H379" s="37" t="n">
        <f aca="false">G379+H367</f>
        <v>308.78</v>
      </c>
      <c r="I379" s="37" t="n">
        <f aca="false">H379+I367</f>
        <v>308.78</v>
      </c>
      <c r="J379" s="37" t="n">
        <f aca="false">I379+J367</f>
        <v>308.78</v>
      </c>
      <c r="K379" s="37" t="n">
        <f aca="false">J379+K367</f>
        <v>308.78</v>
      </c>
      <c r="L379" s="37" t="n">
        <f aca="false">K379+L367</f>
        <v>308.78</v>
      </c>
      <c r="M379" s="37" t="n">
        <f aca="false">L379+M367</f>
        <v>308.78</v>
      </c>
    </row>
    <row r="380" customFormat="false" ht="15" hidden="false" customHeight="false" outlineLevel="0" collapsed="false">
      <c r="A380" s="26" t="s">
        <v>214</v>
      </c>
      <c r="B380" s="36" t="s">
        <v>55</v>
      </c>
      <c r="C380" s="37" t="n">
        <f aca="false">C360</f>
        <v>0</v>
      </c>
      <c r="D380" s="37" t="n">
        <f aca="false">C380+D360</f>
        <v>-14.79815</v>
      </c>
      <c r="E380" s="37" t="n">
        <f aca="false">D380+E360</f>
        <v>1.5862276325</v>
      </c>
      <c r="F380" s="37" t="n">
        <f aca="false">E380+F360</f>
        <v>39.702542062575</v>
      </c>
      <c r="G380" s="37" t="n">
        <f aca="false">F380+G360</f>
        <v>98.5087405842715</v>
      </c>
      <c r="H380" s="37" t="n">
        <f aca="false">G380+H360</f>
        <v>166.776194978357</v>
      </c>
      <c r="I380" s="37" t="n">
        <f aca="false">H380+I360</f>
        <v>253.002530876905</v>
      </c>
      <c r="J380" s="37" t="n">
        <f aca="false">I380+J360</f>
        <v>349.129179053828</v>
      </c>
      <c r="K380" s="37" t="n">
        <f aca="false">J380+K360</f>
        <v>455.288055117854</v>
      </c>
      <c r="L380" s="37" t="n">
        <f aca="false">K380+L360</f>
        <v>571.613159625897</v>
      </c>
      <c r="M380" s="37" t="n">
        <f aca="false">L380+M360</f>
        <v>698.240478825055</v>
      </c>
    </row>
    <row r="381" customFormat="false" ht="15" hidden="false" customHeight="false" outlineLevel="0" collapsed="false">
      <c r="A381" s="26" t="s">
        <v>17</v>
      </c>
      <c r="B381" s="36" t="s">
        <v>55</v>
      </c>
      <c r="C381" s="37" t="n">
        <f aca="false">C344</f>
        <v>463.17</v>
      </c>
      <c r="D381" s="37" t="n">
        <f aca="false">D344</f>
        <v>463.17</v>
      </c>
      <c r="E381" s="37" t="n">
        <f aca="false">E344</f>
        <v>463.17</v>
      </c>
      <c r="F381" s="37" t="n">
        <f aca="false">F344</f>
        <v>397.002857142857</v>
      </c>
      <c r="G381" s="37" t="n">
        <f aca="false">G344</f>
        <v>330.835714285714</v>
      </c>
      <c r="H381" s="37" t="n">
        <f aca="false">H344</f>
        <v>264.668571428571</v>
      </c>
      <c r="I381" s="37" t="n">
        <f aca="false">I344</f>
        <v>198.501428571429</v>
      </c>
      <c r="J381" s="37" t="n">
        <f aca="false">J344</f>
        <v>132.334285714286</v>
      </c>
      <c r="K381" s="37" t="n">
        <f aca="false">K344</f>
        <v>66.1671428571429</v>
      </c>
      <c r="L381" s="37" t="n">
        <f aca="false">L344</f>
        <v>0</v>
      </c>
      <c r="M381" s="37" t="n">
        <f aca="false">M344</f>
        <v>0</v>
      </c>
    </row>
    <row r="382" customFormat="false" ht="15" hidden="false" customHeight="false" outlineLevel="0" collapsed="false">
      <c r="A382" s="26" t="s">
        <v>172</v>
      </c>
      <c r="B382" s="36" t="s">
        <v>55</v>
      </c>
      <c r="C382" s="37" t="n">
        <f aca="false">C336</f>
        <v>0</v>
      </c>
      <c r="D382" s="37" t="n">
        <f aca="false">D336</f>
        <v>5.93303835616438</v>
      </c>
      <c r="E382" s="37" t="n">
        <f aca="false">E336</f>
        <v>6.63527876712329</v>
      </c>
      <c r="F382" s="37" t="n">
        <f aca="false">F336</f>
        <v>7.39340874657534</v>
      </c>
      <c r="G382" s="37" t="n">
        <f aca="false">G336</f>
        <v>7.98015535438356</v>
      </c>
      <c r="H382" s="37" t="n">
        <f aca="false">H336</f>
        <v>8.36626164633288</v>
      </c>
      <c r="I382" s="37" t="n">
        <f aca="false">I336</f>
        <v>8.87481325255539</v>
      </c>
      <c r="J382" s="37" t="n">
        <f aca="false">J336</f>
        <v>9.30880343567211</v>
      </c>
      <c r="K382" s="37" t="n">
        <f aca="false">K336</f>
        <v>9.76631984112286</v>
      </c>
      <c r="L382" s="37" t="n">
        <f aca="false">L336</f>
        <v>10.2486540851505</v>
      </c>
      <c r="M382" s="37" t="n">
        <f aca="false">M336</f>
        <v>10.7571695112111</v>
      </c>
    </row>
    <row r="383" customFormat="false" ht="15" hidden="false" customHeight="false" outlineLevel="0" collapsed="false">
      <c r="A383" s="9" t="s">
        <v>215</v>
      </c>
      <c r="B383" s="36" t="s">
        <v>55</v>
      </c>
      <c r="C383" s="38" t="n">
        <f aca="false">SUM(C379:C382)</f>
        <v>771.95</v>
      </c>
      <c r="D383" s="38" t="n">
        <f aca="false">SUM(D379:D382)</f>
        <v>763.084888356165</v>
      </c>
      <c r="E383" s="38" t="n">
        <f aca="false">SUM(E379:E382)</f>
        <v>780.171506399623</v>
      </c>
      <c r="F383" s="38" t="n">
        <f aca="false">SUM(F379:F382)</f>
        <v>752.878807952008</v>
      </c>
      <c r="G383" s="38" t="n">
        <f aca="false">SUM(G379:G382)</f>
        <v>746.104610224369</v>
      </c>
      <c r="H383" s="38" t="n">
        <f aca="false">SUM(H379:H382)</f>
        <v>748.591028053261</v>
      </c>
      <c r="I383" s="38" t="n">
        <f aca="false">SUM(I379:I382)</f>
        <v>769.15877270089</v>
      </c>
      <c r="J383" s="38" t="n">
        <f aca="false">SUM(J379:J382)</f>
        <v>799.552268203786</v>
      </c>
      <c r="K383" s="38" t="n">
        <f aca="false">SUM(K379:K382)</f>
        <v>840.00151781612</v>
      </c>
      <c r="L383" s="38" t="n">
        <f aca="false">SUM(L379:L382)</f>
        <v>890.641813711048</v>
      </c>
      <c r="M383" s="38" t="n">
        <f aca="false">SUM(M379:M382)</f>
        <v>1017.77764833627</v>
      </c>
    </row>
    <row r="384" customFormat="false" ht="15" hidden="false" customHeight="false" outlineLevel="0" collapsed="false">
      <c r="A384" s="26" t="s">
        <v>216</v>
      </c>
      <c r="B384" s="36" t="s">
        <v>55</v>
      </c>
      <c r="C384" s="37" t="n">
        <f aca="false">ROUND(C378-C383,6)</f>
        <v>0</v>
      </c>
      <c r="D384" s="37" t="n">
        <f aca="false">ROUND(D378-D383,6)</f>
        <v>0</v>
      </c>
      <c r="E384" s="37" t="n">
        <f aca="false">ROUND(E378-E383,6)</f>
        <v>0</v>
      </c>
      <c r="F384" s="37" t="n">
        <f aca="false">ROUND(F378-F383,6)</f>
        <v>0</v>
      </c>
      <c r="G384" s="37" t="n">
        <f aca="false">ROUND(G378-G383,6)</f>
        <v>0</v>
      </c>
      <c r="H384" s="37" t="n">
        <f aca="false">ROUND(H378-H383,6)</f>
        <v>0</v>
      </c>
      <c r="I384" s="37" t="n">
        <f aca="false">ROUND(I378-I383,6)</f>
        <v>0</v>
      </c>
      <c r="J384" s="37" t="n">
        <f aca="false">ROUND(J378-J383,6)</f>
        <v>0</v>
      </c>
      <c r="K384" s="37" t="n">
        <f aca="false">ROUND(K378-K383,6)</f>
        <v>0</v>
      </c>
      <c r="L384" s="37" t="n">
        <f aca="false">ROUND(L378-L383,6)</f>
        <v>0</v>
      </c>
      <c r="M384" s="37" t="n">
        <f aca="false">ROUND(M378-M383,6)</f>
        <v>0</v>
      </c>
    </row>
    <row r="385" customFormat="false" ht="15" hidden="false" customHeight="false" outlineLevel="0" collapsed="false">
      <c r="A385" s="24" t="s">
        <v>285</v>
      </c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</row>
    <row r="386" customFormat="false" ht="15" hidden="false" customHeight="false" outlineLevel="0" collapsed="false">
      <c r="A386" s="26" t="s">
        <v>219</v>
      </c>
      <c r="B386" s="36" t="s">
        <v>55</v>
      </c>
      <c r="D386" s="37" t="n">
        <f aca="false">D358+D331+D342</f>
        <v>76.3147</v>
      </c>
      <c r="E386" s="37" t="n">
        <f aca="false">E358+E331+E342</f>
        <v>107.4972276325</v>
      </c>
      <c r="F386" s="37" t="n">
        <f aca="false">F358+F331+F342</f>
        <v>129.229164430075</v>
      </c>
      <c r="G386" s="37" t="n">
        <f aca="false">G358+G331+G342</f>
        <v>142.971498521697</v>
      </c>
      <c r="H386" s="37" t="n">
        <f aca="false">H358+H331+H342</f>
        <v>145.485204394086</v>
      </c>
      <c r="I386" s="37" t="n">
        <f aca="false">I358+I331+I342</f>
        <v>152.096535898548</v>
      </c>
      <c r="J386" s="37" t="n">
        <f aca="false">J358+J331+J342</f>
        <v>155.049298176923</v>
      </c>
      <c r="K386" s="37" t="n">
        <f aca="false">K358+K331+K342</f>
        <v>158.133976064026</v>
      </c>
      <c r="L386" s="37" t="n">
        <f aca="false">L358+L331+L342</f>
        <v>161.352654508043</v>
      </c>
      <c r="M386" s="37" t="n">
        <f aca="false">M358+M331+M342</f>
        <v>164.707319199158</v>
      </c>
    </row>
    <row r="387" customFormat="false" ht="15" hidden="false" customHeight="false" outlineLevel="0" collapsed="false">
      <c r="A387" s="26" t="s">
        <v>220</v>
      </c>
      <c r="B387" s="36" t="s">
        <v>55</v>
      </c>
      <c r="D387" s="37" t="n">
        <f aca="false">D342+D343</f>
        <v>48.63285</v>
      </c>
      <c r="E387" s="37" t="n">
        <f aca="false">E342+E343</f>
        <v>48.63285</v>
      </c>
      <c r="F387" s="37" t="n">
        <f aca="false">F342+F343</f>
        <v>114.799992857143</v>
      </c>
      <c r="G387" s="37" t="n">
        <f aca="false">G342+G343</f>
        <v>107.852442857143</v>
      </c>
      <c r="H387" s="37" t="n">
        <f aca="false">H342+H343</f>
        <v>100.904892857143</v>
      </c>
      <c r="I387" s="37" t="n">
        <f aca="false">I342+I343</f>
        <v>93.9573428571429</v>
      </c>
      <c r="J387" s="37" t="n">
        <f aca="false">J342+J343</f>
        <v>87.0097928571429</v>
      </c>
      <c r="K387" s="37" t="n">
        <f aca="false">K342+K343</f>
        <v>80.0622428571429</v>
      </c>
      <c r="L387" s="37" t="n">
        <f aca="false">L342+L343</f>
        <v>73.1146928571429</v>
      </c>
      <c r="M387" s="37" t="n">
        <f aca="false">M342+M343</f>
        <v>0</v>
      </c>
    </row>
    <row r="388" customFormat="false" ht="15" hidden="false" customHeight="false" outlineLevel="0" collapsed="false">
      <c r="A388" s="26" t="s">
        <v>24</v>
      </c>
      <c r="B388" s="36" t="s">
        <v>104</v>
      </c>
      <c r="D388" s="39" t="n">
        <f aca="false">IF(D387&gt;0,D386/D387,"")</f>
        <v>1.56920065346777</v>
      </c>
      <c r="E388" s="39" t="n">
        <f aca="false">IF(E387&gt;0,E386/E387,"")</f>
        <v>2.21038305656568</v>
      </c>
      <c r="F388" s="39" t="n">
        <f aca="false">IF(F387&gt;0,F386/F387,"")</f>
        <v>1.12568965566825</v>
      </c>
      <c r="G388" s="39" t="n">
        <f aca="false">IF(G387&gt;0,G386/G387,"")</f>
        <v>1.3256213279385</v>
      </c>
      <c r="H388" s="39" t="n">
        <f aca="false">IF(H387&gt;0,H386/H387,"")</f>
        <v>1.44180525120876</v>
      </c>
      <c r="I388" s="39" t="n">
        <f aca="false">IF(I387&gt;0,I386/I387,"")</f>
        <v>1.61878285691628</v>
      </c>
      <c r="J388" s="39" t="n">
        <f aca="false">IF(J387&gt;0,J386/J387,"")</f>
        <v>1.78197525916986</v>
      </c>
      <c r="K388" s="39" t="n">
        <f aca="false">IF(K387&gt;0,K386/K387,"")</f>
        <v>1.97513797291675</v>
      </c>
      <c r="L388" s="39" t="n">
        <f aca="false">IF(L387&gt;0,L386/L387,"")</f>
        <v>2.20684308724795</v>
      </c>
      <c r="M388" s="39" t="str">
        <f aca="false">IF(M387&gt;0,M386/M387,"")</f>
        <v/>
      </c>
    </row>
    <row r="389" customFormat="false" ht="15" hidden="false" customHeight="false" outlineLevel="0" collapsed="false">
      <c r="A389" s="9" t="s">
        <v>221</v>
      </c>
      <c r="B389" s="36" t="s">
        <v>104</v>
      </c>
      <c r="C389" s="44" t="n">
        <f aca="false">MIN(D388:M388)</f>
        <v>1.12568965566825</v>
      </c>
    </row>
    <row r="390" customFormat="false" ht="15" hidden="false" customHeight="false" outlineLevel="0" collapsed="false">
      <c r="A390" s="9" t="s">
        <v>222</v>
      </c>
      <c r="B390" s="36" t="s">
        <v>104</v>
      </c>
      <c r="C390" s="44" t="n">
        <f aca="false">AVERAGE(D388:M388)</f>
        <v>1.69504879123331</v>
      </c>
    </row>
    <row r="392" customFormat="false" ht="15" hidden="false" customHeight="false" outlineLevel="0" collapsed="false">
      <c r="A392" s="24" t="s">
        <v>223</v>
      </c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</row>
    <row r="393" customFormat="false" ht="15" hidden="false" customHeight="false" outlineLevel="0" collapsed="false">
      <c r="A393" s="26" t="s">
        <v>224</v>
      </c>
      <c r="B393" s="36" t="s">
        <v>55</v>
      </c>
      <c r="D393" s="37" t="n">
        <f aca="false">MAX(0,D351)*Inputs!$C$44</f>
        <v>8.51619399</v>
      </c>
      <c r="E393" s="37" t="n">
        <f aca="false">MAX(0,E351)*Inputs!$C$44</f>
        <v>16.4991300675</v>
      </c>
      <c r="F393" s="37" t="n">
        <f aca="false">MAX(0,F351)*Inputs!$C$44</f>
        <v>25.061784164925</v>
      </c>
      <c r="G393" s="37" t="n">
        <f aca="false">MAX(0,G351)*Inputs!$C$44</f>
        <v>30.2723853433035</v>
      </c>
      <c r="H393" s="37" t="n">
        <f aca="false">MAX(0,H351)*Inputs!$C$44</f>
        <v>31.7060979438645</v>
      </c>
      <c r="I393" s="37" t="n">
        <f aca="false">MAX(0,I351)*Inputs!$C$44</f>
        <v>35.9980924789344</v>
      </c>
      <c r="J393" s="37" t="n">
        <f aca="false">MAX(0,J351)*Inputs!$C$44</f>
        <v>37.5794871553828</v>
      </c>
      <c r="K393" s="37" t="n">
        <f aca="false">MAX(0,K351)*Inputs!$C$44</f>
        <v>39.2052532854153</v>
      </c>
      <c r="L393" s="37" t="n">
        <f aca="false">MAX(0,L351)*Inputs!$C$44</f>
        <v>40.8760921672523</v>
      </c>
      <c r="M393" s="37" t="n">
        <f aca="false">MAX(0,M351)*Inputs!$C$44</f>
        <v>42.5926717124523</v>
      </c>
    </row>
    <row r="394" customFormat="false" ht="15" hidden="false" customHeight="false" outlineLevel="0" collapsed="false">
      <c r="A394" s="26" t="s">
        <v>225</v>
      </c>
      <c r="B394" s="36" t="s">
        <v>55</v>
      </c>
      <c r="D394" s="37" t="n">
        <f aca="false">D337-C337</f>
        <v>12.3751808219178</v>
      </c>
      <c r="E394" s="37" t="n">
        <f aca="false">E337-D337</f>
        <v>4.26132123287671</v>
      </c>
      <c r="F394" s="37" t="n">
        <f aca="false">F337-E337</f>
        <v>4.57322344520548</v>
      </c>
      <c r="G394" s="37" t="n">
        <f aca="false">G337-F337</f>
        <v>2.84562950178082</v>
      </c>
      <c r="H394" s="37" t="n">
        <f aca="false">H337-G337</f>
        <v>0.895314122297272</v>
      </c>
      <c r="I394" s="37" t="n">
        <f aca="false">I337-H337</f>
        <v>1.81411442462899</v>
      </c>
      <c r="J394" s="37" t="n">
        <f aca="false">J337-I337</f>
        <v>0.991593688933786</v>
      </c>
      <c r="K394" s="37" t="n">
        <f aca="false">K337-J337</f>
        <v>1.02509082148175</v>
      </c>
      <c r="L394" s="37" t="n">
        <f aca="false">L337-K337</f>
        <v>1.05957727198219</v>
      </c>
      <c r="M394" s="37" t="n">
        <f aca="false">M337-L337</f>
        <v>1.09507255058966</v>
      </c>
    </row>
    <row r="395" customFormat="false" ht="15" hidden="false" customHeight="false" outlineLevel="0" collapsed="false">
      <c r="A395" s="26" t="s">
        <v>226</v>
      </c>
      <c r="B395" s="36" t="s">
        <v>55</v>
      </c>
      <c r="D395" s="37" t="n">
        <f aca="false">0</f>
        <v>0</v>
      </c>
      <c r="E395" s="37" t="n">
        <f aca="false">0</f>
        <v>0</v>
      </c>
      <c r="F395" s="37" t="n">
        <f aca="false">0</f>
        <v>0</v>
      </c>
      <c r="G395" s="37" t="n">
        <f aca="false">0</f>
        <v>0</v>
      </c>
      <c r="H395" s="37" t="n">
        <f aca="false">0</f>
        <v>0</v>
      </c>
      <c r="I395" s="37" t="n">
        <f aca="false">0</f>
        <v>0</v>
      </c>
      <c r="J395" s="37" t="n">
        <f aca="false">0</f>
        <v>0</v>
      </c>
      <c r="K395" s="37" t="n">
        <f aca="false">0</f>
        <v>0</v>
      </c>
      <c r="L395" s="37" t="n">
        <f aca="false">0</f>
        <v>0</v>
      </c>
      <c r="M395" s="37" t="n">
        <f aca="false">M332*Inputs!$C$52+M337</f>
        <v>206.511117881694</v>
      </c>
    </row>
    <row r="396" customFormat="false" ht="15" hidden="false" customHeight="false" outlineLevel="0" collapsed="false">
      <c r="A396" s="9" t="s">
        <v>227</v>
      </c>
      <c r="B396" s="36" t="s">
        <v>55</v>
      </c>
      <c r="C396" s="38" t="n">
        <f aca="false">-C292</f>
        <v>-753.95</v>
      </c>
      <c r="D396" s="38" t="n">
        <f aca="false">D325-D393-D394+D395</f>
        <v>55.4233251880822</v>
      </c>
      <c r="E396" s="38" t="n">
        <f aca="false">E325-E393-E394+E395</f>
        <v>87.2703236996233</v>
      </c>
      <c r="F396" s="38" t="n">
        <f aca="false">F325-F393-F394+F395</f>
        <v>112.41505263987</v>
      </c>
      <c r="G396" s="38" t="n">
        <f aca="false">G325-G393-G394+G395</f>
        <v>129.633679009916</v>
      </c>
      <c r="H396" s="38" t="n">
        <f aca="false">H325-H393-H394+H395</f>
        <v>135.846398596788</v>
      </c>
      <c r="I396" s="38" t="n">
        <f aca="false">I325-I393-I394+I395</f>
        <v>143.287628133919</v>
      </c>
      <c r="J396" s="38" t="n">
        <f aca="false">J325-J393-J394+J395</f>
        <v>148.811609482989</v>
      </c>
      <c r="K396" s="38" t="n">
        <f aca="false">K325-K393-K394+K395</f>
        <v>153.611488572544</v>
      </c>
      <c r="L396" s="38" t="n">
        <f aca="false">L325-L393-L394+L395</f>
        <v>158.544378901061</v>
      </c>
      <c r="M396" s="38" t="n">
        <f aca="false">M325-M393-M394+M395</f>
        <v>370.123364530263</v>
      </c>
    </row>
    <row r="397" customFormat="false" ht="15" hidden="false" customHeight="false" outlineLevel="0" collapsed="false">
      <c r="A397" s="26" t="s">
        <v>228</v>
      </c>
      <c r="B397" s="36" t="s">
        <v>55</v>
      </c>
      <c r="C397" s="37" t="n">
        <f aca="false">C396</f>
        <v>-753.95</v>
      </c>
      <c r="D397" s="37" t="n">
        <f aca="false">C397+D396</f>
        <v>-698.526674811918</v>
      </c>
      <c r="E397" s="37" t="n">
        <f aca="false">D397+E396</f>
        <v>-611.256351112295</v>
      </c>
      <c r="F397" s="37" t="n">
        <f aca="false">E397+F396</f>
        <v>-498.841298472425</v>
      </c>
      <c r="G397" s="37" t="n">
        <f aca="false">F397+G396</f>
        <v>-369.207619462509</v>
      </c>
      <c r="H397" s="37" t="n">
        <f aca="false">G397+H396</f>
        <v>-233.361220865721</v>
      </c>
      <c r="I397" s="37" t="n">
        <f aca="false">H397+I396</f>
        <v>-90.0735927318017</v>
      </c>
      <c r="J397" s="37" t="n">
        <f aca="false">I397+J396</f>
        <v>58.7380167511874</v>
      </c>
      <c r="K397" s="37" t="n">
        <f aca="false">J397+K396</f>
        <v>212.349505323731</v>
      </c>
      <c r="L397" s="37" t="n">
        <f aca="false">K397+L396</f>
        <v>370.893884224792</v>
      </c>
      <c r="M397" s="37" t="n">
        <f aca="false">L397+M396</f>
        <v>741.017248755055</v>
      </c>
    </row>
    <row r="398" customFormat="false" ht="15" hidden="false" customHeight="false" outlineLevel="0" collapsed="false">
      <c r="A398" s="26" t="s">
        <v>229</v>
      </c>
      <c r="B398" s="36" t="s">
        <v>55</v>
      </c>
      <c r="C398" s="37" t="n">
        <f aca="false">C396/(1+Inputs!$C$50)^Inputs!C$6</f>
        <v>-753.95</v>
      </c>
      <c r="D398" s="37" t="n">
        <f aca="false">D396/(1+Inputs!$C$50)^Inputs!D$6</f>
        <v>49.9309235928669</v>
      </c>
      <c r="E398" s="37" t="n">
        <f aca="false">E396/(1+Inputs!$C$50)^Inputs!E$6</f>
        <v>70.8305524710846</v>
      </c>
      <c r="F398" s="37" t="n">
        <f aca="false">F396/(1+Inputs!$C$50)^Inputs!F$6</f>
        <v>82.1969176187652</v>
      </c>
      <c r="G398" s="37" t="n">
        <f aca="false">G396/(1+Inputs!$C$50)^Inputs!G$6</f>
        <v>85.393719656202</v>
      </c>
      <c r="H398" s="37" t="n">
        <f aca="false">H396/(1+Inputs!$C$50)^Inputs!H$6</f>
        <v>80.6182256592363</v>
      </c>
      <c r="I398" s="37" t="n">
        <f aca="false">I396/(1+Inputs!$C$50)^Inputs!I$6</f>
        <v>76.6074173066985</v>
      </c>
      <c r="J398" s="37" t="n">
        <f aca="false">J396/(1+Inputs!$C$50)^Inputs!J$6</f>
        <v>71.6763633456793</v>
      </c>
      <c r="K398" s="37" t="n">
        <f aca="false">K396/(1+Inputs!$C$50)^Inputs!K$6</f>
        <v>66.6560950274074</v>
      </c>
      <c r="L398" s="37" t="n">
        <f aca="false">L396/(1+Inputs!$C$50)^Inputs!L$6</f>
        <v>61.9789250849398</v>
      </c>
      <c r="M398" s="37" t="n">
        <f aca="false">M396/(1+Inputs!$C$50)^Inputs!M$6</f>
        <v>130.351704219343</v>
      </c>
    </row>
    <row r="399" customFormat="false" ht="15" hidden="false" customHeight="false" outlineLevel="0" collapsed="false">
      <c r="A399" s="26" t="s">
        <v>230</v>
      </c>
      <c r="B399" s="36" t="s">
        <v>55</v>
      </c>
      <c r="C399" s="37" t="n">
        <f aca="false">C398</f>
        <v>-753.95</v>
      </c>
      <c r="D399" s="37" t="n">
        <f aca="false">C399+D398</f>
        <v>-704.019076407133</v>
      </c>
      <c r="E399" s="37" t="n">
        <f aca="false">D399+E398</f>
        <v>-633.188523936049</v>
      </c>
      <c r="F399" s="37" t="n">
        <f aca="false">E399+F398</f>
        <v>-550.991606317283</v>
      </c>
      <c r="G399" s="37" t="n">
        <f aca="false">F399+G398</f>
        <v>-465.597886661081</v>
      </c>
      <c r="H399" s="37" t="n">
        <f aca="false">G399+H398</f>
        <v>-384.979661001845</v>
      </c>
      <c r="I399" s="37" t="n">
        <f aca="false">H399+I398</f>
        <v>-308.372243695147</v>
      </c>
      <c r="J399" s="37" t="n">
        <f aca="false">I399+J398</f>
        <v>-236.695880349467</v>
      </c>
      <c r="K399" s="37" t="n">
        <f aca="false">J399+K398</f>
        <v>-170.03978532206</v>
      </c>
      <c r="L399" s="37" t="n">
        <f aca="false">K399+L398</f>
        <v>-108.06086023712</v>
      </c>
      <c r="M399" s="37" t="n">
        <f aca="false">L399+M398</f>
        <v>22.2908439822225</v>
      </c>
    </row>
    <row r="400" customFormat="false" ht="15" hidden="false" customHeight="false" outlineLevel="0" collapsed="false">
      <c r="A400" s="26" t="s">
        <v>231</v>
      </c>
      <c r="B400" s="36" t="s">
        <v>69</v>
      </c>
      <c r="D400" s="45" t="str">
        <f aca="false">IF(AND(C397&lt;0,D397&gt;=0),Inputs!D$6-1+(-C397)/D396,"")</f>
        <v/>
      </c>
      <c r="E400" s="45" t="str">
        <f aca="false">IF(AND(D397&lt;0,E397&gt;=0),Inputs!E$6-1+(-D397)/E396,"")</f>
        <v/>
      </c>
      <c r="F400" s="45" t="str">
        <f aca="false">IF(AND(E397&lt;0,F397&gt;=0),Inputs!F$6-1+(-E397)/F396,"")</f>
        <v/>
      </c>
      <c r="G400" s="45" t="str">
        <f aca="false">IF(AND(F397&lt;0,G397&gt;=0),Inputs!G$6-1+(-F397)/G396,"")</f>
        <v/>
      </c>
      <c r="H400" s="45" t="str">
        <f aca="false">IF(AND(G397&lt;0,H397&gt;=0),Inputs!H$6-1+(-G397)/H396,"")</f>
        <v/>
      </c>
      <c r="I400" s="45" t="str">
        <f aca="false">IF(AND(H397&lt;0,I397&gt;=0),Inputs!I$6-1+(-H397)/I396,"")</f>
        <v/>
      </c>
      <c r="J400" s="45" t="n">
        <f aca="false">IF(AND(I397&lt;0,J397&gt;=0),Inputs!J$6-1+(-I397)/J396,"")</f>
        <v>6.60528605963433</v>
      </c>
      <c r="K400" s="45" t="str">
        <f aca="false">IF(AND(J397&lt;0,K397&gt;=0),Inputs!K$6-1+(-J397)/K396,"")</f>
        <v/>
      </c>
      <c r="L400" s="45" t="str">
        <f aca="false">IF(AND(K397&lt;0,L397&gt;=0),Inputs!L$6-1+(-K397)/L396,"")</f>
        <v/>
      </c>
      <c r="M400" s="45" t="str">
        <f aca="false">IF(AND(L397&lt;0,M397&gt;=0),Inputs!M$6-1+(-L397)/M396,"")</f>
        <v/>
      </c>
    </row>
    <row r="401" customFormat="false" ht="15" hidden="false" customHeight="false" outlineLevel="0" collapsed="false">
      <c r="A401" s="26" t="s">
        <v>232</v>
      </c>
      <c r="B401" s="36" t="s">
        <v>69</v>
      </c>
      <c r="D401" s="45" t="str">
        <f aca="false">IF(AND(C399&lt;0,D399&gt;=0),Inputs!D$6-1+(-C399)/D398,"")</f>
        <v/>
      </c>
      <c r="E401" s="45" t="str">
        <f aca="false">IF(AND(D399&lt;0,E399&gt;=0),Inputs!E$6-1+(-D399)/E398,"")</f>
        <v/>
      </c>
      <c r="F401" s="45" t="str">
        <f aca="false">IF(AND(E399&lt;0,F399&gt;=0),Inputs!F$6-1+(-E399)/F398,"")</f>
        <v/>
      </c>
      <c r="G401" s="45" t="str">
        <f aca="false">IF(AND(F399&lt;0,G399&gt;=0),Inputs!G$6-1+(-F399)/G398,"")</f>
        <v/>
      </c>
      <c r="H401" s="45" t="str">
        <f aca="false">IF(AND(G399&lt;0,H399&gt;=0),Inputs!H$6-1+(-G399)/H398,"")</f>
        <v/>
      </c>
      <c r="I401" s="45" t="str">
        <f aca="false">IF(AND(H399&lt;0,I399&gt;=0),Inputs!I$6-1+(-H399)/I398,"")</f>
        <v/>
      </c>
      <c r="J401" s="45" t="str">
        <f aca="false">IF(AND(I399&lt;0,J399&gt;=0),Inputs!J$6-1+(-I399)/J398,"")</f>
        <v/>
      </c>
      <c r="K401" s="45" t="str">
        <f aca="false">IF(AND(J399&lt;0,K399&gt;=0),Inputs!K$6-1+(-J399)/K398,"")</f>
        <v/>
      </c>
      <c r="L401" s="45" t="str">
        <f aca="false">IF(AND(K399&lt;0,L399&gt;=0),Inputs!L$6-1+(-K399)/L398,"")</f>
        <v/>
      </c>
      <c r="M401" s="45" t="n">
        <f aca="false">IF(AND(L399&lt;0,M399&gt;=0),Inputs!M$6-1+(-L399)/M398,"")</f>
        <v>9.82899461026828</v>
      </c>
    </row>
    <row r="402" customFormat="false" ht="15" hidden="false" customHeight="false" outlineLevel="0" collapsed="false">
      <c r="A402" s="9" t="s">
        <v>233</v>
      </c>
      <c r="B402" s="36" t="s">
        <v>55</v>
      </c>
      <c r="C402" s="43" t="n">
        <f aca="false">NPV(Inputs!$C$50,D396:M396)+C396</f>
        <v>22.2908439822224</v>
      </c>
    </row>
    <row r="403" customFormat="false" ht="15" hidden="false" customHeight="false" outlineLevel="0" collapsed="false">
      <c r="A403" s="9" t="s">
        <v>23</v>
      </c>
      <c r="B403" s="36" t="s">
        <v>62</v>
      </c>
      <c r="C403" s="46" t="n">
        <f aca="false">IRR(C396:M396)</f>
        <v>0.115565008063264</v>
      </c>
    </row>
    <row r="404" customFormat="false" ht="15" hidden="false" customHeight="false" outlineLevel="0" collapsed="false">
      <c r="A404" s="9" t="s">
        <v>234</v>
      </c>
      <c r="B404" s="36" t="s">
        <v>104</v>
      </c>
      <c r="C404" s="44" t="n">
        <f aca="false">SUMIF(C398:M398,"&gt;0")/-SUMIF(C398:M398,"&lt;0")</f>
        <v>1.02956541412855</v>
      </c>
    </row>
    <row r="405" customFormat="false" ht="15" hidden="false" customHeight="false" outlineLevel="0" collapsed="false">
      <c r="A405" s="9" t="s">
        <v>235</v>
      </c>
      <c r="B405" s="36" t="s">
        <v>69</v>
      </c>
      <c r="C405" s="47" t="n">
        <f aca="false">IF(COUNT(D400:M400)=0,"Beyond Year 10",MIN(D400:M400))</f>
        <v>6.60528605963433</v>
      </c>
    </row>
    <row r="406" customFormat="false" ht="15" hidden="false" customHeight="false" outlineLevel="0" collapsed="false">
      <c r="A406" s="9" t="s">
        <v>35</v>
      </c>
      <c r="B406" s="36" t="s">
        <v>69</v>
      </c>
      <c r="C406" s="47" t="n">
        <f aca="false">IF(COUNT(D401:M401)=0,"Beyond Year 10",MIN(D401:M401))</f>
        <v>9.82899461026828</v>
      </c>
    </row>
    <row r="408" customFormat="false" ht="15" hidden="false" customHeight="false" outlineLevel="0" collapsed="false">
      <c r="A408" s="24" t="s">
        <v>236</v>
      </c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</row>
    <row r="409" customFormat="false" ht="15" hidden="false" customHeight="false" outlineLevel="0" collapsed="false">
      <c r="A409" s="9" t="s">
        <v>237</v>
      </c>
      <c r="B409" s="36" t="s">
        <v>55</v>
      </c>
      <c r="C409" s="43" t="n">
        <f aca="false">-C298</f>
        <v>-308.78</v>
      </c>
      <c r="D409" s="43" t="n">
        <f aca="false">D364-D343</f>
        <v>15.3066691780822</v>
      </c>
      <c r="E409" s="43" t="n">
        <f aca="false">E364-E343</f>
        <v>54.6030563996233</v>
      </c>
      <c r="F409" s="43" t="n">
        <f aca="false">F364-F343</f>
        <v>9.85594812772665</v>
      </c>
      <c r="G409" s="43" t="n">
        <f aca="false">G364-G343</f>
        <v>32.2734261627728</v>
      </c>
      <c r="H409" s="43" t="n">
        <f aca="false">H364-H343</f>
        <v>43.6849974146454</v>
      </c>
      <c r="I409" s="43" t="n">
        <f aca="false">I364-I343</f>
        <v>56.3250786167766</v>
      </c>
      <c r="J409" s="43" t="n">
        <f aca="false">J364-J343</f>
        <v>67.0479116308462</v>
      </c>
      <c r="K409" s="43" t="n">
        <f aca="false">K364-K343</f>
        <v>77.046642385401</v>
      </c>
      <c r="L409" s="43" t="n">
        <f aca="false">L364-L343</f>
        <v>87.1783843789179</v>
      </c>
      <c r="M409" s="43" t="n">
        <f aca="false">M364-M343+C293+M332*Inputs!$C$52+M337</f>
        <v>388.123364530263</v>
      </c>
    </row>
    <row r="410" customFormat="false" ht="15" hidden="false" customHeight="false" outlineLevel="0" collapsed="false">
      <c r="A410" s="9" t="s">
        <v>238</v>
      </c>
      <c r="B410" s="36" t="s">
        <v>55</v>
      </c>
      <c r="C410" s="43" t="n">
        <f aca="false">NPV(Inputs!$C$51,D409:M409)+C409</f>
        <v>6.07885845549959</v>
      </c>
    </row>
    <row r="411" customFormat="false" ht="15" hidden="false" customHeight="false" outlineLevel="0" collapsed="false">
      <c r="A411" s="9" t="s">
        <v>27</v>
      </c>
      <c r="B411" s="36" t="s">
        <v>62</v>
      </c>
      <c r="C411" s="46" t="n">
        <f aca="false">IRR(C409:M409)</f>
        <v>0.143261171184534</v>
      </c>
    </row>
    <row r="413" customFormat="false" ht="15" hidden="false" customHeight="false" outlineLevel="0" collapsed="false">
      <c r="A413" s="24" t="s">
        <v>239</v>
      </c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</row>
    <row r="414" customFormat="false" ht="15" hidden="false" customHeight="false" outlineLevel="0" collapsed="false">
      <c r="A414" s="26" t="s">
        <v>240</v>
      </c>
      <c r="B414" s="36" t="s">
        <v>55</v>
      </c>
      <c r="D414" s="37" t="n">
        <f aca="false">D312-D323</f>
        <v>126.5175</v>
      </c>
      <c r="E414" s="37" t="n">
        <f aca="false">E312-E323</f>
        <v>160.603575</v>
      </c>
      <c r="F414" s="37" t="n">
        <f aca="false">F312-F323</f>
        <v>197.13056025</v>
      </c>
      <c r="G414" s="37" t="n">
        <f aca="false">G312-G323</f>
        <v>220.485630855</v>
      </c>
      <c r="H414" s="37" t="n">
        <f aca="false">H312-H323</f>
        <v>228.98942963295</v>
      </c>
      <c r="I414" s="37" t="n">
        <f aca="false">I312-I323</f>
        <v>244.612387583183</v>
      </c>
      <c r="J414" s="37" t="n">
        <f aca="false">J312-J323</f>
        <v>254.038962685123</v>
      </c>
      <c r="K414" s="37" t="n">
        <f aca="false">K312-K323</f>
        <v>263.824704771071</v>
      </c>
      <c r="L414" s="37" t="n">
        <f aca="false">L312-L323</f>
        <v>273.983085719384</v>
      </c>
      <c r="M414" s="37" t="n">
        <f aca="false">M312-M323</f>
        <v>284.528071543503</v>
      </c>
    </row>
    <row r="415" customFormat="false" ht="15" hidden="false" customHeight="false" outlineLevel="0" collapsed="false">
      <c r="A415" s="26" t="s">
        <v>241</v>
      </c>
      <c r="B415" s="36" t="s">
        <v>62</v>
      </c>
      <c r="D415" s="40" t="n">
        <f aca="false">D307*(D324+D331+D342)/D414</f>
        <v>0.502634358883158</v>
      </c>
      <c r="E415" s="40" t="n">
        <f aca="false">E307*(E324+E331+E342)/E414</f>
        <v>0.492063190374187</v>
      </c>
      <c r="F415" s="40" t="n">
        <f aca="false">F307*(F324+F331+F342)/F414</f>
        <v>0.482044373939225</v>
      </c>
      <c r="G415" s="40" t="n">
        <f aca="false">G307*(G324+G331+G342)/G414</f>
        <v>0.450503125826476</v>
      </c>
      <c r="H415" s="40" t="n">
        <f aca="false">H307*(H324+H331+H342)/H414</f>
        <v>0.42111794607101</v>
      </c>
      <c r="I415" s="40" t="n">
        <f aca="false">I307*(I324+I331+I342)/I414</f>
        <v>0.380829371534692</v>
      </c>
      <c r="J415" s="40" t="n">
        <f aca="false">J307*(J324+J331+J342)/J414</f>
        <v>0.355917152006712</v>
      </c>
      <c r="K415" s="40" t="n">
        <f aca="false">K307*(K324+K331+K342)/K414</f>
        <v>0.332833651731626</v>
      </c>
      <c r="L415" s="40" t="n">
        <f aca="false">L307*(L324+L331+L342)/L414</f>
        <v>0.311486465264326</v>
      </c>
      <c r="M415" s="40" t="n">
        <f aca="false">M307*(M324+M331+M342)/M414</f>
        <v>0.291787793044769</v>
      </c>
    </row>
    <row r="416" customFormat="false" ht="15" hidden="false" customHeight="false" outlineLevel="0" collapsed="false">
      <c r="A416" s="26" t="s">
        <v>242</v>
      </c>
      <c r="B416" s="36" t="s">
        <v>62</v>
      </c>
      <c r="D416" s="40" t="n">
        <f aca="false">D307*(D324+D342+D343)/D414</f>
        <v>0.351540636670816</v>
      </c>
      <c r="E416" s="40" t="n">
        <f aca="false">E307*(E324+E342+E343)/E414</f>
        <v>0.346586976659766</v>
      </c>
      <c r="F416" s="40" t="n">
        <f aca="false">F307*(F324+F342+F343)/F414</f>
        <v>0.560148158748729</v>
      </c>
      <c r="G416" s="40" t="n">
        <f aca="false">G307*(G324+G342+G343)/G414</f>
        <v>0.525705305377598</v>
      </c>
      <c r="H416" s="40" t="n">
        <f aca="false">H307*(H324+H342+H343)/H414</f>
        <v>0.493527401942305</v>
      </c>
      <c r="I416" s="40" t="n">
        <f aca="false">I307*(I324+I342+I343)/I414</f>
        <v>0.463501974737447</v>
      </c>
      <c r="J416" s="40" t="n">
        <f aca="false">J307*(J324+J342+J343)/J414</f>
        <v>0.435522038766577</v>
      </c>
      <c r="K416" s="40" t="n">
        <f aca="false">K307*(K324+K342+K343)/K414</f>
        <v>0.40948584726688</v>
      </c>
      <c r="L416" s="40" t="n">
        <f aca="false">L307*(L324+L342+L343)/L414</f>
        <v>0.385296652502874</v>
      </c>
      <c r="M416" s="40" t="n">
        <f aca="false">M307*(M324+M342+M343)/M414</f>
        <v>0.195426123522091</v>
      </c>
    </row>
    <row r="417" customFormat="false" ht="15" hidden="false" customHeight="false" outlineLevel="0" collapsed="false">
      <c r="A417" s="9" t="s">
        <v>243</v>
      </c>
      <c r="B417" s="36" t="s">
        <v>62</v>
      </c>
      <c r="C417" s="46" t="n">
        <f aca="false">INDEX(D415:M415,Inputs!$C$54)</f>
        <v>0.450503125826476</v>
      </c>
    </row>
    <row r="418" customFormat="false" ht="15" hidden="false" customHeight="false" outlineLevel="0" collapsed="false">
      <c r="A418" s="9" t="s">
        <v>244</v>
      </c>
      <c r="B418" s="36" t="s">
        <v>62</v>
      </c>
      <c r="C418" s="46" t="n">
        <f aca="false">INDEX(D416:M416,Inputs!$C$54)</f>
        <v>0.525705305377598</v>
      </c>
    </row>
    <row r="421" customFormat="false" ht="15" hidden="false" customHeight="false" outlineLevel="0" collapsed="false">
      <c r="A421" s="24" t="s">
        <v>286</v>
      </c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</row>
    <row r="422" customFormat="false" ht="15" hidden="false" customHeight="false" outlineLevel="0" collapsed="false">
      <c r="A422" s="26" t="s">
        <v>54</v>
      </c>
      <c r="B422" s="36" t="s">
        <v>55</v>
      </c>
      <c r="C422" s="37" t="n">
        <f aca="false">Inputs!$C$10*(1+Inputs!$F$63)</f>
        <v>40</v>
      </c>
    </row>
    <row r="423" customFormat="false" ht="15" hidden="false" customHeight="false" outlineLevel="0" collapsed="false">
      <c r="A423" s="26" t="s">
        <v>56</v>
      </c>
      <c r="B423" s="36" t="s">
        <v>55</v>
      </c>
      <c r="C423" s="37" t="n">
        <f aca="false">Inputs!$C$11*(1+Inputs!$F$63)</f>
        <v>230</v>
      </c>
    </row>
    <row r="424" customFormat="false" ht="15" hidden="false" customHeight="false" outlineLevel="0" collapsed="false">
      <c r="A424" s="26" t="s">
        <v>57</v>
      </c>
      <c r="B424" s="36" t="s">
        <v>55</v>
      </c>
      <c r="C424" s="37" t="n">
        <f aca="false">Inputs!$C$12*(1+Inputs!$F$63)</f>
        <v>250</v>
      </c>
    </row>
    <row r="425" customFormat="false" ht="15" hidden="false" customHeight="false" outlineLevel="0" collapsed="false">
      <c r="A425" s="26" t="s">
        <v>58</v>
      </c>
      <c r="B425" s="36" t="s">
        <v>55</v>
      </c>
      <c r="C425" s="37" t="n">
        <f aca="false">Inputs!$C$13*(1+Inputs!$F$63)</f>
        <v>95</v>
      </c>
    </row>
    <row r="426" customFormat="false" ht="15" hidden="false" customHeight="false" outlineLevel="0" collapsed="false">
      <c r="A426" s="26" t="s">
        <v>59</v>
      </c>
      <c r="B426" s="36" t="s">
        <v>55</v>
      </c>
      <c r="C426" s="37" t="n">
        <f aca="false">Inputs!$C$14*(1+Inputs!$F$63)</f>
        <v>48</v>
      </c>
    </row>
    <row r="427" customFormat="false" ht="15" hidden="false" customHeight="false" outlineLevel="0" collapsed="false">
      <c r="A427" s="26" t="s">
        <v>60</v>
      </c>
      <c r="B427" s="36" t="s">
        <v>55</v>
      </c>
      <c r="C427" s="37" t="n">
        <f aca="false">Inputs!$C$15*(1+Inputs!$F$63)</f>
        <v>36</v>
      </c>
    </row>
    <row r="428" customFormat="false" ht="15" hidden="false" customHeight="false" outlineLevel="0" collapsed="false">
      <c r="A428" s="9" t="s">
        <v>137</v>
      </c>
      <c r="B428" s="36" t="s">
        <v>55</v>
      </c>
      <c r="C428" s="38" t="n">
        <f aca="false">SUM(C423:C427)</f>
        <v>659</v>
      </c>
    </row>
    <row r="429" customFormat="false" ht="15" hidden="false" customHeight="false" outlineLevel="0" collapsed="false">
      <c r="A429" s="26" t="s">
        <v>138</v>
      </c>
      <c r="B429" s="36" t="s">
        <v>55</v>
      </c>
      <c r="C429" s="37" t="n">
        <f aca="false">C428*Inputs!$C$16</f>
        <v>32.95</v>
      </c>
    </row>
    <row r="430" customFormat="false" ht="15" hidden="false" customHeight="false" outlineLevel="0" collapsed="false">
      <c r="A430" s="26" t="s">
        <v>63</v>
      </c>
      <c r="B430" s="36" t="s">
        <v>55</v>
      </c>
      <c r="C430" s="37" t="n">
        <f aca="false">Inputs!$C$17*(1+Inputs!$F$63)</f>
        <v>22</v>
      </c>
    </row>
    <row r="431" customFormat="false" ht="15" hidden="false" customHeight="false" outlineLevel="0" collapsed="false">
      <c r="A431" s="9" t="s">
        <v>139</v>
      </c>
      <c r="B431" s="36" t="s">
        <v>55</v>
      </c>
      <c r="C431" s="38" t="n">
        <f aca="false">C422+C428+C429+C430</f>
        <v>753.95</v>
      </c>
    </row>
    <row r="432" customFormat="false" ht="15" hidden="false" customHeight="false" outlineLevel="0" collapsed="false">
      <c r="A432" s="26" t="s">
        <v>64</v>
      </c>
      <c r="B432" s="36" t="s">
        <v>55</v>
      </c>
      <c r="C432" s="37" t="n">
        <f aca="false">Inputs!$C$18</f>
        <v>18</v>
      </c>
    </row>
    <row r="433" customFormat="false" ht="15" hidden="false" customHeight="false" outlineLevel="0" collapsed="false">
      <c r="A433" s="9" t="s">
        <v>15</v>
      </c>
      <c r="B433" s="36" t="s">
        <v>55</v>
      </c>
      <c r="C433" s="38" t="n">
        <f aca="false">C431+C432</f>
        <v>771.95</v>
      </c>
    </row>
    <row r="435" customFormat="false" ht="15" hidden="false" customHeight="false" outlineLevel="0" collapsed="false">
      <c r="A435" s="24" t="s">
        <v>65</v>
      </c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</row>
    <row r="436" customFormat="false" ht="15" hidden="false" customHeight="false" outlineLevel="0" collapsed="false">
      <c r="A436" s="26" t="s">
        <v>17</v>
      </c>
      <c r="B436" s="36" t="s">
        <v>55</v>
      </c>
      <c r="C436" s="37" t="n">
        <f aca="false">C433*Inputs!$C$20</f>
        <v>463.17</v>
      </c>
    </row>
    <row r="437" customFormat="false" ht="15" hidden="false" customHeight="false" outlineLevel="0" collapsed="false">
      <c r="A437" s="26" t="s">
        <v>19</v>
      </c>
      <c r="B437" s="36" t="s">
        <v>55</v>
      </c>
      <c r="C437" s="37" t="n">
        <f aca="false">C433-C436</f>
        <v>308.78</v>
      </c>
    </row>
    <row r="438" customFormat="false" ht="15" hidden="false" customHeight="false" outlineLevel="0" collapsed="false">
      <c r="A438" s="9" t="s">
        <v>140</v>
      </c>
      <c r="B438" s="36" t="s">
        <v>55</v>
      </c>
      <c r="C438" s="38" t="n">
        <f aca="false">C436+C437</f>
        <v>771.95</v>
      </c>
    </row>
    <row r="439" customFormat="false" ht="15" hidden="false" customHeight="false" outlineLevel="0" collapsed="false">
      <c r="A439" s="26" t="s">
        <v>21</v>
      </c>
      <c r="B439" s="36" t="s">
        <v>104</v>
      </c>
      <c r="C439" s="39" t="n">
        <f aca="false">C436/C437</f>
        <v>1.5</v>
      </c>
    </row>
    <row r="441" customFormat="false" ht="15" hidden="false" customHeight="false" outlineLevel="0" collapsed="false">
      <c r="A441" s="24" t="s">
        <v>141</v>
      </c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</row>
    <row r="442" customFormat="false" ht="15" hidden="false" customHeight="false" outlineLevel="0" collapsed="false">
      <c r="A442" s="26" t="s">
        <v>142</v>
      </c>
      <c r="B442" s="36" t="s">
        <v>55</v>
      </c>
      <c r="C442" s="37" t="n">
        <f aca="false">C423*(1+Inputs!$C$16)</f>
        <v>241.5</v>
      </c>
    </row>
    <row r="443" customFormat="false" ht="15" hidden="false" customHeight="false" outlineLevel="0" collapsed="false">
      <c r="A443" s="26" t="s">
        <v>143</v>
      </c>
      <c r="B443" s="36" t="s">
        <v>55</v>
      </c>
      <c r="C443" s="37" t="n">
        <f aca="false">C424+C425+C426+C427</f>
        <v>429</v>
      </c>
    </row>
    <row r="444" customFormat="false" ht="15" hidden="false" customHeight="false" outlineLevel="0" collapsed="false">
      <c r="A444" s="26" t="s">
        <v>144</v>
      </c>
      <c r="B444" s="36" t="s">
        <v>55</v>
      </c>
      <c r="C444" s="37" t="n">
        <f aca="false">C443*(1+Inputs!$C$16)</f>
        <v>450.45</v>
      </c>
    </row>
    <row r="445" customFormat="false" ht="15" hidden="false" customHeight="false" outlineLevel="0" collapsed="false">
      <c r="A445" s="24" t="s">
        <v>287</v>
      </c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</row>
    <row r="446" customFormat="false" ht="15" hidden="false" customHeight="false" outlineLevel="0" collapsed="false">
      <c r="A446" s="26" t="s">
        <v>147</v>
      </c>
      <c r="B446" s="36" t="s">
        <v>62</v>
      </c>
      <c r="D446" s="40" t="n">
        <f aca="false">MAX(0,MIN(1,Inputs!D$56+Inputs!$D$63))</f>
        <v>0.55</v>
      </c>
      <c r="E446" s="40" t="n">
        <f aca="false">MAX(0,MIN(1,Inputs!E$56+Inputs!$D$63))</f>
        <v>0.65</v>
      </c>
      <c r="F446" s="40" t="n">
        <f aca="false">MAX(0,MIN(1,Inputs!F$56+Inputs!$D$63))</f>
        <v>0.75</v>
      </c>
      <c r="G446" s="40" t="n">
        <f aca="false">MAX(0,MIN(1,Inputs!G$56+Inputs!$D$63))</f>
        <v>0.8</v>
      </c>
      <c r="H446" s="40" t="n">
        <f aca="false">MAX(0,MIN(1,Inputs!H$56+Inputs!$D$63))</f>
        <v>0.8</v>
      </c>
      <c r="I446" s="40" t="n">
        <f aca="false">MAX(0,MIN(1,Inputs!I$56+Inputs!$D$63))</f>
        <v>0.82</v>
      </c>
      <c r="J446" s="40" t="n">
        <f aca="false">MAX(0,MIN(1,Inputs!J$56+Inputs!$D$63))</f>
        <v>0.82</v>
      </c>
      <c r="K446" s="40" t="n">
        <f aca="false">MAX(0,MIN(1,Inputs!K$56+Inputs!$D$63))</f>
        <v>0.82</v>
      </c>
      <c r="L446" s="40" t="n">
        <f aca="false">MAX(0,MIN(1,Inputs!L$56+Inputs!$D$63))</f>
        <v>0.82</v>
      </c>
      <c r="M446" s="40" t="n">
        <f aca="false">MAX(0,MIN(1,Inputs!M$56+Inputs!$D$63))</f>
        <v>0.82</v>
      </c>
    </row>
    <row r="447" customFormat="false" ht="15" hidden="false" customHeight="false" outlineLevel="0" collapsed="false">
      <c r="A447" s="26" t="s">
        <v>148</v>
      </c>
      <c r="B447" s="36" t="s">
        <v>72</v>
      </c>
      <c r="D447" s="41" t="n">
        <f aca="false">Inputs!$C$25*D446</f>
        <v>2750</v>
      </c>
      <c r="E447" s="41" t="n">
        <f aca="false">Inputs!$C$25*E446</f>
        <v>3250</v>
      </c>
      <c r="F447" s="41" t="n">
        <f aca="false">Inputs!$C$25*F446</f>
        <v>3750</v>
      </c>
      <c r="G447" s="41" t="n">
        <f aca="false">Inputs!$C$25*G446</f>
        <v>4000</v>
      </c>
      <c r="H447" s="41" t="n">
        <f aca="false">Inputs!$C$25*H446</f>
        <v>4000</v>
      </c>
      <c r="I447" s="41" t="n">
        <f aca="false">Inputs!$C$25*I446</f>
        <v>4100</v>
      </c>
      <c r="J447" s="41" t="n">
        <f aca="false">Inputs!$C$25*J446</f>
        <v>4100</v>
      </c>
      <c r="K447" s="41" t="n">
        <f aca="false">Inputs!$C$25*K446</f>
        <v>4100</v>
      </c>
      <c r="L447" s="41" t="n">
        <f aca="false">Inputs!$C$25*L446</f>
        <v>4100</v>
      </c>
      <c r="M447" s="41" t="n">
        <f aca="false">Inputs!$C$25*M446</f>
        <v>4100</v>
      </c>
    </row>
    <row r="448" customFormat="false" ht="15" hidden="false" customHeight="false" outlineLevel="0" collapsed="false">
      <c r="A448" s="26" t="s">
        <v>149</v>
      </c>
      <c r="B448" s="36" t="s">
        <v>74</v>
      </c>
      <c r="D448" s="42" t="n">
        <f aca="false">Inputs!$C$26*(1+Inputs!$C$27)^(Inputs!D$6-1)*(1+Inputs!$C$63)</f>
        <v>6000</v>
      </c>
      <c r="E448" s="42" t="n">
        <f aca="false">Inputs!$C$26*(1+Inputs!$C$27)^(Inputs!E$6-1)*(1+Inputs!$C$63)</f>
        <v>6240</v>
      </c>
      <c r="F448" s="42" t="n">
        <f aca="false">Inputs!$C$26*(1+Inputs!$C$27)^(Inputs!F$6-1)*(1+Inputs!$C$63)</f>
        <v>6489.6</v>
      </c>
      <c r="G448" s="42" t="n">
        <f aca="false">Inputs!$C$26*(1+Inputs!$C$27)^(Inputs!G$6-1)*(1+Inputs!$C$63)</f>
        <v>6749.184</v>
      </c>
      <c r="H448" s="42" t="n">
        <f aca="false">Inputs!$C$26*(1+Inputs!$C$27)^(Inputs!H$6-1)*(1+Inputs!$C$63)</f>
        <v>7019.15136</v>
      </c>
      <c r="I448" s="42" t="n">
        <f aca="false">Inputs!$C$26*(1+Inputs!$C$27)^(Inputs!I$6-1)*(1+Inputs!$C$63)</f>
        <v>7299.9174144</v>
      </c>
      <c r="J448" s="42" t="n">
        <f aca="false">Inputs!$C$26*(1+Inputs!$C$27)^(Inputs!J$6-1)*(1+Inputs!$C$63)</f>
        <v>7591.914110976</v>
      </c>
      <c r="K448" s="42" t="n">
        <f aca="false">Inputs!$C$26*(1+Inputs!$C$27)^(Inputs!K$6-1)*(1+Inputs!$C$63)</f>
        <v>7895.59067541504</v>
      </c>
      <c r="L448" s="42" t="n">
        <f aca="false">Inputs!$C$26*(1+Inputs!$C$27)^(Inputs!L$6-1)*(1+Inputs!$C$63)</f>
        <v>8211.41430243164</v>
      </c>
      <c r="M448" s="42" t="n">
        <f aca="false">Inputs!$C$26*(1+Inputs!$C$27)^(Inputs!M$6-1)*(1+Inputs!$C$63)</f>
        <v>8539.87087452891</v>
      </c>
    </row>
    <row r="449" customFormat="false" ht="15" hidden="false" customHeight="false" outlineLevel="0" collapsed="false">
      <c r="A449" s="26" t="s">
        <v>150</v>
      </c>
      <c r="B449" s="36" t="s">
        <v>55</v>
      </c>
      <c r="D449" s="37" t="n">
        <f aca="false">D447*D448/Inputs!$C$48</f>
        <v>165</v>
      </c>
      <c r="E449" s="37" t="n">
        <f aca="false">E447*E448/Inputs!$C$48</f>
        <v>202.8</v>
      </c>
      <c r="F449" s="37" t="n">
        <f aca="false">F447*F448/Inputs!$C$48</f>
        <v>243.36</v>
      </c>
      <c r="G449" s="37" t="n">
        <f aca="false">G447*G448/Inputs!$C$48</f>
        <v>269.96736</v>
      </c>
      <c r="H449" s="37" t="n">
        <f aca="false">H447*H448/Inputs!$C$48</f>
        <v>280.7660544</v>
      </c>
      <c r="I449" s="37" t="n">
        <f aca="false">I447*I448/Inputs!$C$48</f>
        <v>299.2966139904</v>
      </c>
      <c r="J449" s="37" t="n">
        <f aca="false">J447*J448/Inputs!$C$48</f>
        <v>311.268478550016</v>
      </c>
      <c r="K449" s="37" t="n">
        <f aca="false">K447*K448/Inputs!$C$48</f>
        <v>323.719217692017</v>
      </c>
      <c r="L449" s="37" t="n">
        <f aca="false">L447*L448/Inputs!$C$48</f>
        <v>336.667986399697</v>
      </c>
      <c r="M449" s="37" t="n">
        <f aca="false">M447*M448/Inputs!$C$48</f>
        <v>350.134705855685</v>
      </c>
    </row>
    <row r="450" customFormat="false" ht="15" hidden="false" customHeight="false" outlineLevel="0" collapsed="false">
      <c r="A450" s="26" t="s">
        <v>151</v>
      </c>
      <c r="B450" s="36" t="s">
        <v>55</v>
      </c>
      <c r="D450" s="37" t="n">
        <f aca="false">D449*Inputs!$C$28</f>
        <v>16.5</v>
      </c>
      <c r="E450" s="37" t="n">
        <f aca="false">E449*Inputs!$C$28</f>
        <v>20.28</v>
      </c>
      <c r="F450" s="37" t="n">
        <f aca="false">F449*Inputs!$C$28</f>
        <v>24.336</v>
      </c>
      <c r="G450" s="37" t="n">
        <f aca="false">G449*Inputs!$C$28</f>
        <v>26.996736</v>
      </c>
      <c r="H450" s="37" t="n">
        <f aca="false">H449*Inputs!$C$28</f>
        <v>28.07660544</v>
      </c>
      <c r="I450" s="37" t="n">
        <f aca="false">I449*Inputs!$C$28</f>
        <v>29.92966139904</v>
      </c>
      <c r="J450" s="37" t="n">
        <f aca="false">J449*Inputs!$C$28</f>
        <v>31.1268478550016</v>
      </c>
      <c r="K450" s="37" t="n">
        <f aca="false">K449*Inputs!$C$28</f>
        <v>32.3719217692017</v>
      </c>
      <c r="L450" s="37" t="n">
        <f aca="false">L449*Inputs!$C$28</f>
        <v>33.6667986399697</v>
      </c>
      <c r="M450" s="37" t="n">
        <f aca="false">M449*Inputs!$C$28</f>
        <v>35.0134705855685</v>
      </c>
    </row>
    <row r="451" customFormat="false" ht="15" hidden="false" customHeight="false" outlineLevel="0" collapsed="false">
      <c r="A451" s="9" t="s">
        <v>152</v>
      </c>
      <c r="B451" s="36" t="s">
        <v>55</v>
      </c>
      <c r="D451" s="38" t="n">
        <f aca="false">D449+D450</f>
        <v>181.5</v>
      </c>
      <c r="E451" s="38" t="n">
        <f aca="false">E449+E450</f>
        <v>223.08</v>
      </c>
      <c r="F451" s="38" t="n">
        <f aca="false">F449+F450</f>
        <v>267.696</v>
      </c>
      <c r="G451" s="38" t="n">
        <f aca="false">G449+G450</f>
        <v>296.964096</v>
      </c>
      <c r="H451" s="38" t="n">
        <f aca="false">H449+H450</f>
        <v>308.84265984</v>
      </c>
      <c r="I451" s="38" t="n">
        <f aca="false">I449+I450</f>
        <v>329.22627538944</v>
      </c>
      <c r="J451" s="38" t="n">
        <f aca="false">J449+J450</f>
        <v>342.395326405018</v>
      </c>
      <c r="K451" s="38" t="n">
        <f aca="false">K449+K450</f>
        <v>356.091139461218</v>
      </c>
      <c r="L451" s="38" t="n">
        <f aca="false">L449+L450</f>
        <v>370.334785039667</v>
      </c>
      <c r="M451" s="38" t="n">
        <f aca="false">M449+M450</f>
        <v>385.148176441254</v>
      </c>
    </row>
    <row r="453" customFormat="false" ht="15" hidden="false" customHeight="false" outlineLevel="0" collapsed="false">
      <c r="A453" s="24" t="s">
        <v>153</v>
      </c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</row>
    <row r="454" customFormat="false" ht="15" hidden="false" customHeight="false" outlineLevel="0" collapsed="false">
      <c r="A454" s="26" t="s">
        <v>154</v>
      </c>
      <c r="B454" s="36" t="s">
        <v>55</v>
      </c>
      <c r="D454" s="37" t="n">
        <f aca="false">D447*Inputs!$C$30*(1+Inputs!$C$31)^(Inputs!D$6-1)/Inputs!$C$48*(1+Inputs!$E$63)</f>
        <v>28.7375</v>
      </c>
      <c r="E454" s="37" t="n">
        <f aca="false">E447*Inputs!$C$30*(1+Inputs!$C$31)^(Inputs!E$6-1)/Inputs!$C$48*(1+Inputs!$E$63)</f>
        <v>35.660625</v>
      </c>
      <c r="F454" s="37" t="n">
        <f aca="false">F447*Inputs!$C$30*(1+Inputs!$C$31)^(Inputs!F$6-1)/Inputs!$C$48*(1+Inputs!$E$63)</f>
        <v>43.20421875</v>
      </c>
      <c r="G454" s="37" t="n">
        <f aca="false">G447*Inputs!$C$30*(1+Inputs!$C$31)^(Inputs!G$6-1)/Inputs!$C$48*(1+Inputs!$E$63)</f>
        <v>48.388725</v>
      </c>
      <c r="H454" s="37" t="n">
        <f aca="false">H447*Inputs!$C$30*(1+Inputs!$C$31)^(Inputs!H$6-1)/Inputs!$C$48*(1+Inputs!$E$63)</f>
        <v>50.80816125</v>
      </c>
      <c r="I454" s="37" t="n">
        <f aca="false">I447*Inputs!$C$30*(1+Inputs!$C$31)^(Inputs!I$6-1)/Inputs!$C$48*(1+Inputs!$E$63)</f>
        <v>54.6822835453125</v>
      </c>
      <c r="J454" s="37" t="n">
        <f aca="false">J447*Inputs!$C$30*(1+Inputs!$C$31)^(Inputs!J$6-1)/Inputs!$C$48*(1+Inputs!$E$63)</f>
        <v>57.4163977225782</v>
      </c>
      <c r="K454" s="37" t="n">
        <f aca="false">K447*Inputs!$C$30*(1+Inputs!$C$31)^(Inputs!K$6-1)/Inputs!$C$48*(1+Inputs!$E$63)</f>
        <v>60.2872176087071</v>
      </c>
      <c r="L454" s="37" t="n">
        <f aca="false">L447*Inputs!$C$30*(1+Inputs!$C$31)^(Inputs!L$6-1)/Inputs!$C$48*(1+Inputs!$E$63)</f>
        <v>63.3015784891424</v>
      </c>
      <c r="M454" s="37" t="n">
        <f aca="false">M447*Inputs!$C$30*(1+Inputs!$C$31)^(Inputs!M$6-1)/Inputs!$C$48*(1+Inputs!$E$63)</f>
        <v>66.4666574135995</v>
      </c>
    </row>
    <row r="455" customFormat="false" ht="15" hidden="false" customHeight="false" outlineLevel="0" collapsed="false">
      <c r="A455" s="26" t="s">
        <v>155</v>
      </c>
      <c r="B455" s="36" t="s">
        <v>55</v>
      </c>
      <c r="D455" s="37" t="n">
        <f aca="false">-D454*Inputs!$C$32</f>
        <v>-5.17275</v>
      </c>
      <c r="E455" s="37" t="n">
        <f aca="false">-E454*Inputs!$C$32</f>
        <v>-6.4189125</v>
      </c>
      <c r="F455" s="37" t="n">
        <f aca="false">-F454*Inputs!$C$32</f>
        <v>-7.776759375</v>
      </c>
      <c r="G455" s="37" t="n">
        <f aca="false">-G454*Inputs!$C$32</f>
        <v>-8.7099705</v>
      </c>
      <c r="H455" s="37" t="n">
        <f aca="false">-H454*Inputs!$C$32</f>
        <v>-9.145469025</v>
      </c>
      <c r="I455" s="37" t="n">
        <f aca="false">-I454*Inputs!$C$32</f>
        <v>-9.84281103815625</v>
      </c>
      <c r="J455" s="37" t="n">
        <f aca="false">-J454*Inputs!$C$32</f>
        <v>-10.3349515900641</v>
      </c>
      <c r="K455" s="37" t="n">
        <f aca="false">-K454*Inputs!$C$32</f>
        <v>-10.8516991695673</v>
      </c>
      <c r="L455" s="37" t="n">
        <f aca="false">-L454*Inputs!$C$32</f>
        <v>-11.3942841280456</v>
      </c>
      <c r="M455" s="37" t="n">
        <f aca="false">-M454*Inputs!$C$32</f>
        <v>-11.9639983344479</v>
      </c>
    </row>
    <row r="456" customFormat="false" ht="15" hidden="false" customHeight="false" outlineLevel="0" collapsed="false">
      <c r="A456" s="26" t="s">
        <v>156</v>
      </c>
      <c r="B456" s="36" t="s">
        <v>55</v>
      </c>
      <c r="D456" s="37" t="n">
        <f aca="false">D451*Inputs!$C$33*(1+Inputs!$E$63)</f>
        <v>5.9895</v>
      </c>
      <c r="E456" s="37" t="n">
        <f aca="false">E451*Inputs!$C$33*(1+Inputs!$E$63)</f>
        <v>7.36164</v>
      </c>
      <c r="F456" s="37" t="n">
        <f aca="false">F451*Inputs!$C$33*(1+Inputs!$E$63)</f>
        <v>8.833968</v>
      </c>
      <c r="G456" s="37" t="n">
        <f aca="false">G451*Inputs!$C$33*(1+Inputs!$E$63)</f>
        <v>9.799815168</v>
      </c>
      <c r="H456" s="37" t="n">
        <f aca="false">H451*Inputs!$C$33*(1+Inputs!$E$63)</f>
        <v>10.19180777472</v>
      </c>
      <c r="I456" s="37" t="n">
        <f aca="false">I451*Inputs!$C$33*(1+Inputs!$E$63)</f>
        <v>10.8644670878515</v>
      </c>
      <c r="J456" s="37" t="n">
        <f aca="false">J451*Inputs!$C$33*(1+Inputs!$E$63)</f>
        <v>11.2990457713656</v>
      </c>
      <c r="K456" s="37" t="n">
        <f aca="false">K451*Inputs!$C$33*(1+Inputs!$E$63)</f>
        <v>11.7510076022202</v>
      </c>
      <c r="L456" s="37" t="n">
        <f aca="false">L451*Inputs!$C$33*(1+Inputs!$E$63)</f>
        <v>12.221047906309</v>
      </c>
      <c r="M456" s="37" t="n">
        <f aca="false">M451*Inputs!$C$33*(1+Inputs!$E$63)</f>
        <v>12.7098898225614</v>
      </c>
    </row>
    <row r="457" customFormat="false" ht="15" hidden="false" customHeight="false" outlineLevel="0" collapsed="false">
      <c r="A457" s="26" t="s">
        <v>157</v>
      </c>
      <c r="B457" s="36" t="s">
        <v>55</v>
      </c>
      <c r="D457" s="37" t="n">
        <f aca="false">Inputs!$C$34*(1+Inputs!$C$35)^(Inputs!D$6-1)*(1+Inputs!$E$63)</f>
        <v>35.2</v>
      </c>
      <c r="E457" s="37" t="n">
        <f aca="false">Inputs!$C$34*(1+Inputs!$C$35)^(Inputs!E$6-1)*(1+Inputs!$E$63)</f>
        <v>37.312</v>
      </c>
      <c r="F457" s="37" t="n">
        <f aca="false">Inputs!$C$34*(1+Inputs!$C$35)^(Inputs!F$6-1)*(1+Inputs!$E$63)</f>
        <v>39.55072</v>
      </c>
      <c r="G457" s="37" t="n">
        <f aca="false">Inputs!$C$34*(1+Inputs!$C$35)^(Inputs!G$6-1)*(1+Inputs!$E$63)</f>
        <v>41.9237632</v>
      </c>
      <c r="H457" s="37" t="n">
        <f aca="false">Inputs!$C$34*(1+Inputs!$C$35)^(Inputs!H$6-1)*(1+Inputs!$E$63)</f>
        <v>44.439188992</v>
      </c>
      <c r="I457" s="37" t="n">
        <f aca="false">Inputs!$C$34*(1+Inputs!$C$35)^(Inputs!I$6-1)*(1+Inputs!$E$63)</f>
        <v>47.10554033152</v>
      </c>
      <c r="J457" s="37" t="n">
        <f aca="false">Inputs!$C$34*(1+Inputs!$C$35)^(Inputs!J$6-1)*(1+Inputs!$E$63)</f>
        <v>49.9318727514112</v>
      </c>
      <c r="K457" s="37" t="n">
        <f aca="false">Inputs!$C$34*(1+Inputs!$C$35)^(Inputs!K$6-1)*(1+Inputs!$E$63)</f>
        <v>52.9277851164959</v>
      </c>
      <c r="L457" s="37" t="n">
        <f aca="false">Inputs!$C$34*(1+Inputs!$C$35)^(Inputs!L$6-1)*(1+Inputs!$E$63)</f>
        <v>56.1034522234857</v>
      </c>
      <c r="M457" s="37" t="n">
        <f aca="false">Inputs!$C$34*(1+Inputs!$C$35)^(Inputs!M$6-1)*(1+Inputs!$E$63)</f>
        <v>59.4696593568948</v>
      </c>
    </row>
    <row r="458" customFormat="false" ht="15" hidden="false" customHeight="false" outlineLevel="0" collapsed="false">
      <c r="A458" s="26" t="s">
        <v>158</v>
      </c>
      <c r="B458" s="36" t="s">
        <v>55</v>
      </c>
      <c r="D458" s="37" t="n">
        <f aca="false">$C$443*Inputs!$C$36*(1+Inputs!$E$63)</f>
        <v>7.0785</v>
      </c>
      <c r="E458" s="37" t="n">
        <f aca="false">$C$443*Inputs!$C$36*(1+Inputs!$E$63)</f>
        <v>7.0785</v>
      </c>
      <c r="F458" s="37" t="n">
        <f aca="false">$C$443*Inputs!$C$36*(1+Inputs!$E$63)</f>
        <v>7.0785</v>
      </c>
      <c r="G458" s="37" t="n">
        <f aca="false">$C$443*Inputs!$C$36*(1+Inputs!$E$63)</f>
        <v>7.0785</v>
      </c>
      <c r="H458" s="37" t="n">
        <f aca="false">$C$443*Inputs!$C$36*(1+Inputs!$E$63)</f>
        <v>7.0785</v>
      </c>
      <c r="I458" s="37" t="n">
        <f aca="false">$C$443*Inputs!$C$36*(1+Inputs!$E$63)</f>
        <v>7.0785</v>
      </c>
      <c r="J458" s="37" t="n">
        <f aca="false">$C$443*Inputs!$C$36*(1+Inputs!$E$63)</f>
        <v>7.0785</v>
      </c>
      <c r="K458" s="37" t="n">
        <f aca="false">$C$443*Inputs!$C$36*(1+Inputs!$E$63)</f>
        <v>7.0785</v>
      </c>
      <c r="L458" s="37" t="n">
        <f aca="false">$C$443*Inputs!$C$36*(1+Inputs!$E$63)</f>
        <v>7.0785</v>
      </c>
      <c r="M458" s="37" t="n">
        <f aca="false">$C$443*Inputs!$C$36*(1+Inputs!$E$63)</f>
        <v>7.0785</v>
      </c>
    </row>
    <row r="459" customFormat="false" ht="15" hidden="false" customHeight="false" outlineLevel="0" collapsed="false">
      <c r="A459" s="26" t="s">
        <v>159</v>
      </c>
      <c r="B459" s="36" t="s">
        <v>55</v>
      </c>
      <c r="D459" s="37" t="n">
        <f aca="false">($C$442+$C$444)*Inputs!$C$37*(1+Inputs!$E$63)</f>
        <v>3.04458</v>
      </c>
      <c r="E459" s="37" t="n">
        <f aca="false">($C$442+$C$444)*Inputs!$C$37*(1+Inputs!$E$63)</f>
        <v>3.04458</v>
      </c>
      <c r="F459" s="37" t="n">
        <f aca="false">($C$442+$C$444)*Inputs!$C$37*(1+Inputs!$E$63)</f>
        <v>3.04458</v>
      </c>
      <c r="G459" s="37" t="n">
        <f aca="false">($C$442+$C$444)*Inputs!$C$37*(1+Inputs!$E$63)</f>
        <v>3.04458</v>
      </c>
      <c r="H459" s="37" t="n">
        <f aca="false">($C$442+$C$444)*Inputs!$C$37*(1+Inputs!$E$63)</f>
        <v>3.04458</v>
      </c>
      <c r="I459" s="37" t="n">
        <f aca="false">($C$442+$C$444)*Inputs!$C$37*(1+Inputs!$E$63)</f>
        <v>3.04458</v>
      </c>
      <c r="J459" s="37" t="n">
        <f aca="false">($C$442+$C$444)*Inputs!$C$37*(1+Inputs!$E$63)</f>
        <v>3.04458</v>
      </c>
      <c r="K459" s="37" t="n">
        <f aca="false">($C$442+$C$444)*Inputs!$C$37*(1+Inputs!$E$63)</f>
        <v>3.04458</v>
      </c>
      <c r="L459" s="37" t="n">
        <f aca="false">($C$442+$C$444)*Inputs!$C$37*(1+Inputs!$E$63)</f>
        <v>3.04458</v>
      </c>
      <c r="M459" s="37" t="n">
        <f aca="false">($C$442+$C$444)*Inputs!$C$37*(1+Inputs!$E$63)</f>
        <v>3.04458</v>
      </c>
    </row>
    <row r="460" customFormat="false" ht="15" hidden="false" customHeight="false" outlineLevel="0" collapsed="false">
      <c r="A460" s="26" t="s">
        <v>160</v>
      </c>
      <c r="B460" s="36" t="s">
        <v>55</v>
      </c>
      <c r="D460" s="37" t="n">
        <f aca="false">Inputs!$C$38*(1+Inputs!$C$39)^(Inputs!D$6-1)*(1+Inputs!$E$63)</f>
        <v>9.9</v>
      </c>
      <c r="E460" s="37" t="n">
        <f aca="false">Inputs!$C$38*(1+Inputs!$C$39)^(Inputs!E$6-1)*(1+Inputs!$E$63)</f>
        <v>10.395</v>
      </c>
      <c r="F460" s="37" t="n">
        <f aca="false">Inputs!$C$38*(1+Inputs!$C$39)^(Inputs!F$6-1)*(1+Inputs!$E$63)</f>
        <v>10.91475</v>
      </c>
      <c r="G460" s="37" t="n">
        <f aca="false">Inputs!$C$38*(1+Inputs!$C$39)^(Inputs!G$6-1)*(1+Inputs!$E$63)</f>
        <v>11.4604875</v>
      </c>
      <c r="H460" s="37" t="n">
        <f aca="false">Inputs!$C$38*(1+Inputs!$C$39)^(Inputs!H$6-1)*(1+Inputs!$E$63)</f>
        <v>12.033511875</v>
      </c>
      <c r="I460" s="37" t="n">
        <f aca="false">Inputs!$C$38*(1+Inputs!$C$39)^(Inputs!I$6-1)*(1+Inputs!$E$63)</f>
        <v>12.63518746875</v>
      </c>
      <c r="J460" s="37" t="n">
        <f aca="false">Inputs!$C$38*(1+Inputs!$C$39)^(Inputs!J$6-1)*(1+Inputs!$E$63)</f>
        <v>13.2669468421875</v>
      </c>
      <c r="K460" s="37" t="n">
        <f aca="false">Inputs!$C$38*(1+Inputs!$C$39)^(Inputs!K$6-1)*(1+Inputs!$E$63)</f>
        <v>13.9302941842969</v>
      </c>
      <c r="L460" s="37" t="n">
        <f aca="false">Inputs!$C$38*(1+Inputs!$C$39)^(Inputs!L$6-1)*(1+Inputs!$E$63)</f>
        <v>14.6268088935117</v>
      </c>
      <c r="M460" s="37" t="n">
        <f aca="false">Inputs!$C$38*(1+Inputs!$C$39)^(Inputs!M$6-1)*(1+Inputs!$E$63)</f>
        <v>15.3581493381873</v>
      </c>
    </row>
    <row r="461" customFormat="false" ht="15" hidden="false" customHeight="false" outlineLevel="0" collapsed="false">
      <c r="A461" s="9" t="s">
        <v>161</v>
      </c>
      <c r="B461" s="36" t="s">
        <v>55</v>
      </c>
      <c r="D461" s="38" t="n">
        <f aca="false">SUM(D454:D460)</f>
        <v>84.77733</v>
      </c>
      <c r="E461" s="38" t="n">
        <f aca="false">SUM(E454:E460)</f>
        <v>94.4334325</v>
      </c>
      <c r="F461" s="38" t="n">
        <f aca="false">SUM(F454:F460)</f>
        <v>104.849977375</v>
      </c>
      <c r="G461" s="38" t="n">
        <f aca="false">SUM(G454:G460)</f>
        <v>112.985900368</v>
      </c>
      <c r="H461" s="38" t="n">
        <f aca="false">SUM(H454:H460)</f>
        <v>118.45028086672</v>
      </c>
      <c r="I461" s="38" t="n">
        <f aca="false">SUM(I454:I460)</f>
        <v>125.567747395278</v>
      </c>
      <c r="J461" s="38" t="n">
        <f aca="false">SUM(J454:J460)</f>
        <v>131.702391497478</v>
      </c>
      <c r="K461" s="38" t="n">
        <f aca="false">SUM(K454:K460)</f>
        <v>138.167685342153</v>
      </c>
      <c r="L461" s="38" t="n">
        <f aca="false">SUM(L454:L460)</f>
        <v>144.981683384403</v>
      </c>
      <c r="M461" s="38" t="n">
        <f aca="false">SUM(M454:M460)</f>
        <v>152.163437596795</v>
      </c>
    </row>
    <row r="462" customFormat="false" ht="15" hidden="false" customHeight="false" outlineLevel="0" collapsed="false">
      <c r="A462" s="26" t="s">
        <v>162</v>
      </c>
      <c r="B462" s="36" t="s">
        <v>55</v>
      </c>
      <c r="D462" s="37" t="n">
        <f aca="false">D454+D455+D456</f>
        <v>29.55425</v>
      </c>
      <c r="E462" s="37" t="n">
        <f aca="false">E454+E455+E456</f>
        <v>36.6033525</v>
      </c>
      <c r="F462" s="37" t="n">
        <f aca="false">F454+F455+F456</f>
        <v>44.261427375</v>
      </c>
      <c r="G462" s="37" t="n">
        <f aca="false">G454+G455+G456</f>
        <v>49.478569668</v>
      </c>
      <c r="H462" s="37" t="n">
        <f aca="false">H454+H455+H456</f>
        <v>51.85449999972</v>
      </c>
      <c r="I462" s="37" t="n">
        <f aca="false">I454+I455+I456</f>
        <v>55.7039395950078</v>
      </c>
      <c r="J462" s="37" t="n">
        <f aca="false">J454+J455+J456</f>
        <v>58.3804919038797</v>
      </c>
      <c r="K462" s="37" t="n">
        <f aca="false">K454+K455+K456</f>
        <v>61.18652604136</v>
      </c>
      <c r="L462" s="37" t="n">
        <f aca="false">L454+L455+L456</f>
        <v>64.1283422674058</v>
      </c>
      <c r="M462" s="37" t="n">
        <f aca="false">M454+M455+M456</f>
        <v>67.212548901713</v>
      </c>
    </row>
    <row r="463" customFormat="false" ht="15" hidden="false" customHeight="false" outlineLevel="0" collapsed="false">
      <c r="A463" s="26" t="s">
        <v>163</v>
      </c>
      <c r="B463" s="36" t="s">
        <v>55</v>
      </c>
      <c r="D463" s="37" t="n">
        <f aca="false">D457+D458+D459+D460</f>
        <v>55.22308</v>
      </c>
      <c r="E463" s="37" t="n">
        <f aca="false">E457+E458+E459+E460</f>
        <v>57.83008</v>
      </c>
      <c r="F463" s="37" t="n">
        <f aca="false">F457+F458+F459+F460</f>
        <v>60.58855</v>
      </c>
      <c r="G463" s="37" t="n">
        <f aca="false">G457+G458+G459+G460</f>
        <v>63.5073307</v>
      </c>
      <c r="H463" s="37" t="n">
        <f aca="false">H457+H458+H459+H460</f>
        <v>66.595780867</v>
      </c>
      <c r="I463" s="37" t="n">
        <f aca="false">I457+I458+I459+I460</f>
        <v>69.86380780027</v>
      </c>
      <c r="J463" s="37" t="n">
        <f aca="false">J457+J458+J459+J460</f>
        <v>73.3218995935987</v>
      </c>
      <c r="K463" s="37" t="n">
        <f aca="false">K457+K458+K459+K460</f>
        <v>76.9811593007928</v>
      </c>
      <c r="L463" s="37" t="n">
        <f aca="false">L457+L458+L459+L460</f>
        <v>80.8533411169974</v>
      </c>
      <c r="M463" s="37" t="n">
        <f aca="false">M457+M458+M459+M460</f>
        <v>84.9508886950821</v>
      </c>
    </row>
    <row r="464" customFormat="false" ht="15" hidden="false" customHeight="false" outlineLevel="0" collapsed="false">
      <c r="A464" s="9" t="s">
        <v>20</v>
      </c>
      <c r="B464" s="36" t="s">
        <v>55</v>
      </c>
      <c r="D464" s="38" t="n">
        <f aca="false">D451-D461</f>
        <v>96.72267</v>
      </c>
      <c r="E464" s="38" t="n">
        <f aca="false">E451-E461</f>
        <v>128.6465675</v>
      </c>
      <c r="F464" s="38" t="n">
        <f aca="false">F451-F461</f>
        <v>162.846022625</v>
      </c>
      <c r="G464" s="38" t="n">
        <f aca="false">G451-G461</f>
        <v>183.978195632</v>
      </c>
      <c r="H464" s="38" t="n">
        <f aca="false">H451-H461</f>
        <v>190.39237897328</v>
      </c>
      <c r="I464" s="38" t="n">
        <f aca="false">I451-I461</f>
        <v>203.658527994162</v>
      </c>
      <c r="J464" s="38" t="n">
        <f aca="false">J451-J461</f>
        <v>210.692934907539</v>
      </c>
      <c r="K464" s="38" t="n">
        <f aca="false">K451-K461</f>
        <v>217.923454119066</v>
      </c>
      <c r="L464" s="38" t="n">
        <f aca="false">L451-L461</f>
        <v>225.353101655264</v>
      </c>
      <c r="M464" s="38" t="n">
        <f aca="false">M451-M461</f>
        <v>232.984738844459</v>
      </c>
    </row>
    <row r="466" customFormat="false" ht="15" hidden="false" customHeight="false" outlineLevel="0" collapsed="false">
      <c r="A466" s="24" t="s">
        <v>164</v>
      </c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</row>
    <row r="467" customFormat="false" ht="15" hidden="false" customHeight="false" outlineLevel="0" collapsed="false">
      <c r="A467" s="26" t="s">
        <v>165</v>
      </c>
      <c r="B467" s="36" t="s">
        <v>55</v>
      </c>
      <c r="D467" s="37" t="n">
        <f aca="false">IF(Inputs!D$6&lt;=Inputs!$C$41,$C$442/Inputs!$C$41,0)</f>
        <v>8.05</v>
      </c>
      <c r="E467" s="37" t="n">
        <f aca="false">IF(Inputs!E$6&lt;=Inputs!$C$41,$C$442/Inputs!$C$41,0)</f>
        <v>8.05</v>
      </c>
      <c r="F467" s="37" t="n">
        <f aca="false">IF(Inputs!F$6&lt;=Inputs!$C$41,$C$442/Inputs!$C$41,0)</f>
        <v>8.05</v>
      </c>
      <c r="G467" s="37" t="n">
        <f aca="false">IF(Inputs!G$6&lt;=Inputs!$C$41,$C$442/Inputs!$C$41,0)</f>
        <v>8.05</v>
      </c>
      <c r="H467" s="37" t="n">
        <f aca="false">IF(Inputs!H$6&lt;=Inputs!$C$41,$C$442/Inputs!$C$41,0)</f>
        <v>8.05</v>
      </c>
      <c r="I467" s="37" t="n">
        <f aca="false">IF(Inputs!I$6&lt;=Inputs!$C$41,$C$442/Inputs!$C$41,0)</f>
        <v>8.05</v>
      </c>
      <c r="J467" s="37" t="n">
        <f aca="false">IF(Inputs!J$6&lt;=Inputs!$C$41,$C$442/Inputs!$C$41,0)</f>
        <v>8.05</v>
      </c>
      <c r="K467" s="37" t="n">
        <f aca="false">IF(Inputs!K$6&lt;=Inputs!$C$41,$C$442/Inputs!$C$41,0)</f>
        <v>8.05</v>
      </c>
      <c r="L467" s="37" t="n">
        <f aca="false">IF(Inputs!L$6&lt;=Inputs!$C$41,$C$442/Inputs!$C$41,0)</f>
        <v>8.05</v>
      </c>
      <c r="M467" s="37" t="n">
        <f aca="false">IF(Inputs!M$6&lt;=Inputs!$C$41,$C$442/Inputs!$C$41,0)</f>
        <v>8.05</v>
      </c>
    </row>
    <row r="468" customFormat="false" ht="15" hidden="false" customHeight="false" outlineLevel="0" collapsed="false">
      <c r="A468" s="26" t="s">
        <v>166</v>
      </c>
      <c r="B468" s="36" t="s">
        <v>55</v>
      </c>
      <c r="D468" s="37" t="n">
        <f aca="false">IF(Inputs!D$6&lt;=Inputs!$C$42,$C$444/Inputs!$C$42,0)</f>
        <v>30.03</v>
      </c>
      <c r="E468" s="37" t="n">
        <f aca="false">IF(Inputs!E$6&lt;=Inputs!$C$42,$C$444/Inputs!$C$42,0)</f>
        <v>30.03</v>
      </c>
      <c r="F468" s="37" t="n">
        <f aca="false">IF(Inputs!F$6&lt;=Inputs!$C$42,$C$444/Inputs!$C$42,0)</f>
        <v>30.03</v>
      </c>
      <c r="G468" s="37" t="n">
        <f aca="false">IF(Inputs!G$6&lt;=Inputs!$C$42,$C$444/Inputs!$C$42,0)</f>
        <v>30.03</v>
      </c>
      <c r="H468" s="37" t="n">
        <f aca="false">IF(Inputs!H$6&lt;=Inputs!$C$42,$C$444/Inputs!$C$42,0)</f>
        <v>30.03</v>
      </c>
      <c r="I468" s="37" t="n">
        <f aca="false">IF(Inputs!I$6&lt;=Inputs!$C$42,$C$444/Inputs!$C$42,0)</f>
        <v>30.03</v>
      </c>
      <c r="J468" s="37" t="n">
        <f aca="false">IF(Inputs!J$6&lt;=Inputs!$C$42,$C$444/Inputs!$C$42,0)</f>
        <v>30.03</v>
      </c>
      <c r="K468" s="37" t="n">
        <f aca="false">IF(Inputs!K$6&lt;=Inputs!$C$42,$C$444/Inputs!$C$42,0)</f>
        <v>30.03</v>
      </c>
      <c r="L468" s="37" t="n">
        <f aca="false">IF(Inputs!L$6&lt;=Inputs!$C$42,$C$444/Inputs!$C$42,0)</f>
        <v>30.03</v>
      </c>
      <c r="M468" s="37" t="n">
        <f aca="false">IF(Inputs!M$6&lt;=Inputs!$C$42,$C$444/Inputs!$C$42,0)</f>
        <v>30.03</v>
      </c>
    </row>
    <row r="469" customFormat="false" ht="15" hidden="false" customHeight="false" outlineLevel="0" collapsed="false">
      <c r="A469" s="26" t="s">
        <v>167</v>
      </c>
      <c r="B469" s="36" t="s">
        <v>55</v>
      </c>
      <c r="D469" s="37" t="n">
        <f aca="false">IF(Inputs!D$6&lt;=Inputs!$C$43,$C$430/Inputs!$C$43,0)</f>
        <v>4.4</v>
      </c>
      <c r="E469" s="37" t="n">
        <f aca="false">IF(Inputs!E$6&lt;=Inputs!$C$43,$C$430/Inputs!$C$43,0)</f>
        <v>4.4</v>
      </c>
      <c r="F469" s="37" t="n">
        <f aca="false">IF(Inputs!F$6&lt;=Inputs!$C$43,$C$430/Inputs!$C$43,0)</f>
        <v>4.4</v>
      </c>
      <c r="G469" s="37" t="n">
        <f aca="false">IF(Inputs!G$6&lt;=Inputs!$C$43,$C$430/Inputs!$C$43,0)</f>
        <v>4.4</v>
      </c>
      <c r="H469" s="37" t="n">
        <f aca="false">IF(Inputs!H$6&lt;=Inputs!$C$43,$C$430/Inputs!$C$43,0)</f>
        <v>4.4</v>
      </c>
      <c r="I469" s="37" t="n">
        <f aca="false">IF(Inputs!I$6&lt;=Inputs!$C$43,$C$430/Inputs!$C$43,0)</f>
        <v>0</v>
      </c>
      <c r="J469" s="37" t="n">
        <f aca="false">IF(Inputs!J$6&lt;=Inputs!$C$43,$C$430/Inputs!$C$43,0)</f>
        <v>0</v>
      </c>
      <c r="K469" s="37" t="n">
        <f aca="false">IF(Inputs!K$6&lt;=Inputs!$C$43,$C$430/Inputs!$C$43,0)</f>
        <v>0</v>
      </c>
      <c r="L469" s="37" t="n">
        <f aca="false">IF(Inputs!L$6&lt;=Inputs!$C$43,$C$430/Inputs!$C$43,0)</f>
        <v>0</v>
      </c>
      <c r="M469" s="37" t="n">
        <f aca="false">IF(Inputs!M$6&lt;=Inputs!$C$43,$C$430/Inputs!$C$43,0)</f>
        <v>0</v>
      </c>
    </row>
    <row r="470" customFormat="false" ht="15" hidden="false" customHeight="false" outlineLevel="0" collapsed="false">
      <c r="A470" s="9" t="s">
        <v>168</v>
      </c>
      <c r="B470" s="36" t="s">
        <v>55</v>
      </c>
      <c r="D470" s="38" t="n">
        <f aca="false">SUM(D467:D469)</f>
        <v>42.48</v>
      </c>
      <c r="E470" s="38" t="n">
        <f aca="false">SUM(E467:E469)</f>
        <v>42.48</v>
      </c>
      <c r="F470" s="38" t="n">
        <f aca="false">SUM(F467:F469)</f>
        <v>42.48</v>
      </c>
      <c r="G470" s="38" t="n">
        <f aca="false">SUM(G467:G469)</f>
        <v>42.48</v>
      </c>
      <c r="H470" s="38" t="n">
        <f aca="false">SUM(H467:H469)</f>
        <v>42.48</v>
      </c>
      <c r="I470" s="38" t="n">
        <f aca="false">SUM(I467:I469)</f>
        <v>38.08</v>
      </c>
      <c r="J470" s="38" t="n">
        <f aca="false">SUM(J467:J469)</f>
        <v>38.08</v>
      </c>
      <c r="K470" s="38" t="n">
        <f aca="false">SUM(K467:K469)</f>
        <v>38.08</v>
      </c>
      <c r="L470" s="38" t="n">
        <f aca="false">SUM(L467:L469)</f>
        <v>38.08</v>
      </c>
      <c r="M470" s="38" t="n">
        <f aca="false">SUM(M467:M469)</f>
        <v>38.08</v>
      </c>
    </row>
    <row r="471" customFormat="false" ht="15" hidden="false" customHeight="false" outlineLevel="0" collapsed="false">
      <c r="A471" s="26" t="s">
        <v>169</v>
      </c>
      <c r="B471" s="36" t="s">
        <v>55</v>
      </c>
      <c r="C471" s="37" t="n">
        <f aca="false">C431</f>
        <v>753.95</v>
      </c>
      <c r="D471" s="37" t="n">
        <f aca="false">C471-D470</f>
        <v>711.47</v>
      </c>
      <c r="E471" s="37" t="n">
        <f aca="false">D471-E470</f>
        <v>668.99</v>
      </c>
      <c r="F471" s="37" t="n">
        <f aca="false">E471-F470</f>
        <v>626.51</v>
      </c>
      <c r="G471" s="37" t="n">
        <f aca="false">F471-G470</f>
        <v>584.03</v>
      </c>
      <c r="H471" s="37" t="n">
        <f aca="false">G471-H470</f>
        <v>541.55</v>
      </c>
      <c r="I471" s="37" t="n">
        <f aca="false">H471-I470</f>
        <v>503.47</v>
      </c>
      <c r="J471" s="37" t="n">
        <f aca="false">I471-J470</f>
        <v>465.39</v>
      </c>
      <c r="K471" s="37" t="n">
        <f aca="false">J471-K470</f>
        <v>427.31</v>
      </c>
      <c r="L471" s="37" t="n">
        <f aca="false">K471-L470</f>
        <v>389.23</v>
      </c>
      <c r="M471" s="37" t="n">
        <f aca="false">L471-M470</f>
        <v>351.15</v>
      </c>
    </row>
    <row r="473" customFormat="false" ht="15" hidden="false" customHeight="false" outlineLevel="0" collapsed="false">
      <c r="A473" s="24" t="s">
        <v>170</v>
      </c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</row>
    <row r="474" customFormat="false" ht="15" hidden="false" customHeight="false" outlineLevel="0" collapsed="false">
      <c r="A474" s="26" t="s">
        <v>171</v>
      </c>
      <c r="B474" s="36" t="s">
        <v>55</v>
      </c>
      <c r="C474" s="37" t="n">
        <f aca="false">0</f>
        <v>0</v>
      </c>
      <c r="D474" s="37" t="n">
        <f aca="false">D451*Inputs!$C$45/Inputs!$C$47</f>
        <v>22.3767123287671</v>
      </c>
      <c r="E474" s="37" t="n">
        <f aca="false">E451*Inputs!$C$45/Inputs!$C$47</f>
        <v>27.5030136986301</v>
      </c>
      <c r="F474" s="37" t="n">
        <f aca="false">F451*Inputs!$C$45/Inputs!$C$47</f>
        <v>33.0036164383562</v>
      </c>
      <c r="G474" s="37" t="n">
        <f aca="false">G451*Inputs!$C$45/Inputs!$C$47</f>
        <v>36.6120118356164</v>
      </c>
      <c r="H474" s="37" t="n">
        <f aca="false">H451*Inputs!$C$45/Inputs!$C$47</f>
        <v>38.0764923090411</v>
      </c>
      <c r="I474" s="37" t="n">
        <f aca="false">I451*Inputs!$C$45/Inputs!$C$47</f>
        <v>40.5895408014378</v>
      </c>
      <c r="J474" s="37" t="n">
        <f aca="false">J451*Inputs!$C$45/Inputs!$C$47</f>
        <v>42.2131224334953</v>
      </c>
      <c r="K474" s="37" t="n">
        <f aca="false">K451*Inputs!$C$45/Inputs!$C$47</f>
        <v>43.9016473308352</v>
      </c>
      <c r="L474" s="37" t="n">
        <f aca="false">L451*Inputs!$C$45/Inputs!$C$47</f>
        <v>45.6577132240686</v>
      </c>
      <c r="M474" s="37" t="n">
        <f aca="false">M451*Inputs!$C$45/Inputs!$C$47</f>
        <v>47.4840217530313</v>
      </c>
    </row>
    <row r="475" customFormat="false" ht="15" hidden="false" customHeight="false" outlineLevel="0" collapsed="false">
      <c r="A475" s="26" t="s">
        <v>172</v>
      </c>
      <c r="B475" s="36" t="s">
        <v>55</v>
      </c>
      <c r="C475" s="37" t="n">
        <f aca="false">0</f>
        <v>0</v>
      </c>
      <c r="D475" s="37" t="n">
        <f aca="false">D461*Inputs!$C$46/Inputs!$C$47</f>
        <v>6.9679997260274</v>
      </c>
      <c r="E475" s="37" t="n">
        <f aca="false">E461*Inputs!$C$46/Inputs!$C$47</f>
        <v>7.76165198630137</v>
      </c>
      <c r="F475" s="37" t="n">
        <f aca="false">F461*Inputs!$C$46/Inputs!$C$47</f>
        <v>8.61780635958904</v>
      </c>
      <c r="G475" s="37" t="n">
        <f aca="false">G461*Inputs!$C$46/Inputs!$C$47</f>
        <v>9.2865123590137</v>
      </c>
      <c r="H475" s="37" t="n">
        <f aca="false">H461*Inputs!$C$46/Inputs!$C$47</f>
        <v>9.73563952329206</v>
      </c>
      <c r="I475" s="37" t="n">
        <f aca="false">I461*Inputs!$C$46/Inputs!$C$47</f>
        <v>10.3206367722146</v>
      </c>
      <c r="J475" s="37" t="n">
        <f aca="false">J461*Inputs!$C$46/Inputs!$C$47</f>
        <v>10.8248540956832</v>
      </c>
      <c r="K475" s="37" t="n">
        <f aca="false">K461*Inputs!$C$46/Inputs!$C$47</f>
        <v>11.3562481103139</v>
      </c>
      <c r="L475" s="37" t="n">
        <f aca="false">L461*Inputs!$C$46/Inputs!$C$47</f>
        <v>11.9163027439235</v>
      </c>
      <c r="M475" s="37" t="n">
        <f aca="false">M461*Inputs!$C$46/Inputs!$C$47</f>
        <v>12.5065839120654</v>
      </c>
    </row>
    <row r="476" customFormat="false" ht="15" hidden="false" customHeight="false" outlineLevel="0" collapsed="false">
      <c r="A476" s="9" t="s">
        <v>173</v>
      </c>
      <c r="B476" s="36" t="s">
        <v>55</v>
      </c>
      <c r="C476" s="43" t="n">
        <f aca="false">C474-C475</f>
        <v>0</v>
      </c>
      <c r="D476" s="43" t="n">
        <f aca="false">D474-D475</f>
        <v>15.4087126027397</v>
      </c>
      <c r="E476" s="43" t="n">
        <f aca="false">E474-E475</f>
        <v>19.7413617123288</v>
      </c>
      <c r="F476" s="43" t="n">
        <f aca="false">F474-F475</f>
        <v>24.3858100787671</v>
      </c>
      <c r="G476" s="43" t="n">
        <f aca="false">G474-G475</f>
        <v>27.3254994766027</v>
      </c>
      <c r="H476" s="43" t="n">
        <f aca="false">H474-H475</f>
        <v>28.340852785749</v>
      </c>
      <c r="I476" s="43" t="n">
        <f aca="false">I474-I475</f>
        <v>30.2689040292232</v>
      </c>
      <c r="J476" s="43" t="n">
        <f aca="false">J474-J475</f>
        <v>31.3882683378122</v>
      </c>
      <c r="K476" s="43" t="n">
        <f aca="false">K474-K475</f>
        <v>32.5453992205212</v>
      </c>
      <c r="L476" s="43" t="n">
        <f aca="false">L474-L475</f>
        <v>33.741410480145</v>
      </c>
      <c r="M476" s="43" t="n">
        <f aca="false">M474-M475</f>
        <v>34.9774378409659</v>
      </c>
    </row>
    <row r="477" customFormat="false" ht="15" hidden="false" customHeight="false" outlineLevel="0" collapsed="false">
      <c r="A477" s="24" t="s">
        <v>288</v>
      </c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</row>
    <row r="478" customFormat="false" ht="15" hidden="false" customHeight="false" outlineLevel="0" collapsed="false">
      <c r="A478" s="26" t="s">
        <v>176</v>
      </c>
      <c r="B478" s="36" t="s">
        <v>55</v>
      </c>
      <c r="C478" s="37" t="n">
        <f aca="false">0</f>
        <v>0</v>
      </c>
      <c r="D478" s="37" t="n">
        <f aca="false">C483</f>
        <v>463.17</v>
      </c>
      <c r="E478" s="37" t="n">
        <f aca="false">D483</f>
        <v>463.17</v>
      </c>
      <c r="F478" s="37" t="n">
        <f aca="false">E483</f>
        <v>463.17</v>
      </c>
      <c r="G478" s="37" t="n">
        <f aca="false">F483</f>
        <v>397.002857142857</v>
      </c>
      <c r="H478" s="37" t="n">
        <f aca="false">G483</f>
        <v>330.835714285714</v>
      </c>
      <c r="I478" s="37" t="n">
        <f aca="false">H483</f>
        <v>264.668571428571</v>
      </c>
      <c r="J478" s="37" t="n">
        <f aca="false">I483</f>
        <v>198.501428571429</v>
      </c>
      <c r="K478" s="37" t="n">
        <f aca="false">J483</f>
        <v>132.334285714286</v>
      </c>
      <c r="L478" s="37" t="n">
        <f aca="false">K483</f>
        <v>66.1671428571429</v>
      </c>
      <c r="M478" s="37" t="n">
        <f aca="false">L483</f>
        <v>0</v>
      </c>
    </row>
    <row r="479" customFormat="false" ht="15" hidden="false" customHeight="false" outlineLevel="0" collapsed="false">
      <c r="A479" s="26" t="s">
        <v>177</v>
      </c>
      <c r="B479" s="36" t="s">
        <v>55</v>
      </c>
      <c r="C479" s="37" t="n">
        <f aca="false">C436</f>
        <v>463.17</v>
      </c>
      <c r="D479" s="37" t="n">
        <f aca="false">0</f>
        <v>0</v>
      </c>
      <c r="E479" s="37" t="n">
        <f aca="false">0</f>
        <v>0</v>
      </c>
      <c r="F479" s="37" t="n">
        <f aca="false">0</f>
        <v>0</v>
      </c>
      <c r="G479" s="37" t="n">
        <f aca="false">0</f>
        <v>0</v>
      </c>
      <c r="H479" s="37" t="n">
        <f aca="false">0</f>
        <v>0</v>
      </c>
      <c r="I479" s="37" t="n">
        <f aca="false">0</f>
        <v>0</v>
      </c>
      <c r="J479" s="37" t="n">
        <f aca="false">0</f>
        <v>0</v>
      </c>
      <c r="K479" s="37" t="n">
        <f aca="false">0</f>
        <v>0</v>
      </c>
      <c r="L479" s="37" t="n">
        <f aca="false">0</f>
        <v>0</v>
      </c>
      <c r="M479" s="37" t="n">
        <f aca="false">0</f>
        <v>0</v>
      </c>
    </row>
    <row r="480" customFormat="false" ht="15" hidden="false" customHeight="false" outlineLevel="0" collapsed="false">
      <c r="A480" s="26" t="s">
        <v>178</v>
      </c>
      <c r="B480" s="36" t="s">
        <v>62</v>
      </c>
      <c r="C480" s="40" t="n">
        <f aca="false">Inputs!$C$21+Inputs!$G$63</f>
        <v>0.105</v>
      </c>
      <c r="D480" s="40" t="n">
        <f aca="false">Inputs!$C$21+Inputs!$G$63</f>
        <v>0.105</v>
      </c>
      <c r="E480" s="40" t="n">
        <f aca="false">Inputs!$C$21+Inputs!$G$63</f>
        <v>0.105</v>
      </c>
      <c r="F480" s="40" t="n">
        <f aca="false">Inputs!$C$21+Inputs!$G$63</f>
        <v>0.105</v>
      </c>
      <c r="G480" s="40" t="n">
        <f aca="false">Inputs!$C$21+Inputs!$G$63</f>
        <v>0.105</v>
      </c>
      <c r="H480" s="40" t="n">
        <f aca="false">Inputs!$C$21+Inputs!$G$63</f>
        <v>0.105</v>
      </c>
      <c r="I480" s="40" t="n">
        <f aca="false">Inputs!$C$21+Inputs!$G$63</f>
        <v>0.105</v>
      </c>
      <c r="J480" s="40" t="n">
        <f aca="false">Inputs!$C$21+Inputs!$G$63</f>
        <v>0.105</v>
      </c>
      <c r="K480" s="40" t="n">
        <f aca="false">Inputs!$C$21+Inputs!$G$63</f>
        <v>0.105</v>
      </c>
      <c r="L480" s="40" t="n">
        <f aca="false">Inputs!$C$21+Inputs!$G$63</f>
        <v>0.105</v>
      </c>
      <c r="M480" s="40" t="n">
        <f aca="false">Inputs!$C$21+Inputs!$G$63</f>
        <v>0.105</v>
      </c>
    </row>
    <row r="481" customFormat="false" ht="15" hidden="false" customHeight="false" outlineLevel="0" collapsed="false">
      <c r="A481" s="26" t="s">
        <v>179</v>
      </c>
      <c r="B481" s="36" t="s">
        <v>55</v>
      </c>
      <c r="C481" s="37" t="n">
        <f aca="false">0</f>
        <v>0</v>
      </c>
      <c r="D481" s="37" t="n">
        <f aca="false">D478*D480</f>
        <v>48.63285</v>
      </c>
      <c r="E481" s="37" t="n">
        <f aca="false">E478*E480</f>
        <v>48.63285</v>
      </c>
      <c r="F481" s="37" t="n">
        <f aca="false">F478*F480</f>
        <v>48.63285</v>
      </c>
      <c r="G481" s="37" t="n">
        <f aca="false">G478*G480</f>
        <v>41.6853</v>
      </c>
      <c r="H481" s="37" t="n">
        <f aca="false">H478*H480</f>
        <v>34.73775</v>
      </c>
      <c r="I481" s="37" t="n">
        <f aca="false">I478*I480</f>
        <v>27.7902</v>
      </c>
      <c r="J481" s="37" t="n">
        <f aca="false">J478*J480</f>
        <v>20.84265</v>
      </c>
      <c r="K481" s="37" t="n">
        <f aca="false">K478*K480</f>
        <v>13.8951</v>
      </c>
      <c r="L481" s="37" t="n">
        <f aca="false">L478*L480</f>
        <v>6.94755</v>
      </c>
      <c r="M481" s="37" t="n">
        <f aca="false">M478*M480</f>
        <v>0</v>
      </c>
    </row>
    <row r="482" customFormat="false" ht="15" hidden="false" customHeight="false" outlineLevel="0" collapsed="false">
      <c r="A482" s="26" t="s">
        <v>180</v>
      </c>
      <c r="B482" s="36" t="s">
        <v>55</v>
      </c>
      <c r="C482" s="37" t="n">
        <f aca="false">0</f>
        <v>0</v>
      </c>
      <c r="D482" s="37" t="n">
        <f aca="false">IF(AND(Inputs!D$6&gt;Inputs!$C$22,Inputs!D$6&lt;=Inputs!$C$22+Inputs!$C$23),MIN(D478,$C$436/Inputs!$C$23),0)</f>
        <v>0</v>
      </c>
      <c r="E482" s="37" t="n">
        <f aca="false">IF(AND(Inputs!E$6&gt;Inputs!$C$22,Inputs!E$6&lt;=Inputs!$C$22+Inputs!$C$23),MIN(E478,$C$436/Inputs!$C$23),0)</f>
        <v>0</v>
      </c>
      <c r="F482" s="37" t="n">
        <f aca="false">IF(AND(Inputs!F$6&gt;Inputs!$C$22,Inputs!F$6&lt;=Inputs!$C$22+Inputs!$C$23),MIN(F478,$C$436/Inputs!$C$23),0)</f>
        <v>66.1671428571429</v>
      </c>
      <c r="G482" s="37" t="n">
        <f aca="false">IF(AND(Inputs!G$6&gt;Inputs!$C$22,Inputs!G$6&lt;=Inputs!$C$22+Inputs!$C$23),MIN(G478,$C$436/Inputs!$C$23),0)</f>
        <v>66.1671428571429</v>
      </c>
      <c r="H482" s="37" t="n">
        <f aca="false">IF(AND(Inputs!H$6&gt;Inputs!$C$22,Inputs!H$6&lt;=Inputs!$C$22+Inputs!$C$23),MIN(H478,$C$436/Inputs!$C$23),0)</f>
        <v>66.1671428571429</v>
      </c>
      <c r="I482" s="37" t="n">
        <f aca="false">IF(AND(Inputs!I$6&gt;Inputs!$C$22,Inputs!I$6&lt;=Inputs!$C$22+Inputs!$C$23),MIN(I478,$C$436/Inputs!$C$23),0)</f>
        <v>66.1671428571429</v>
      </c>
      <c r="J482" s="37" t="n">
        <f aca="false">IF(AND(Inputs!J$6&gt;Inputs!$C$22,Inputs!J$6&lt;=Inputs!$C$22+Inputs!$C$23),MIN(J478,$C$436/Inputs!$C$23),0)</f>
        <v>66.1671428571429</v>
      </c>
      <c r="K482" s="37" t="n">
        <f aca="false">IF(AND(Inputs!K$6&gt;Inputs!$C$22,Inputs!K$6&lt;=Inputs!$C$22+Inputs!$C$23),MIN(K478,$C$436/Inputs!$C$23),0)</f>
        <v>66.1671428571429</v>
      </c>
      <c r="L482" s="37" t="n">
        <f aca="false">IF(AND(Inputs!L$6&gt;Inputs!$C$22,Inputs!L$6&lt;=Inputs!$C$22+Inputs!$C$23),MIN(L478,$C$436/Inputs!$C$23),0)</f>
        <v>66.1671428571429</v>
      </c>
      <c r="M482" s="37" t="n">
        <f aca="false">IF(AND(Inputs!M$6&gt;Inputs!$C$22,Inputs!M$6&lt;=Inputs!$C$22+Inputs!$C$23),MIN(M478,$C$436/Inputs!$C$23),0)</f>
        <v>0</v>
      </c>
    </row>
    <row r="483" customFormat="false" ht="15" hidden="false" customHeight="false" outlineLevel="0" collapsed="false">
      <c r="A483" s="9" t="s">
        <v>181</v>
      </c>
      <c r="B483" s="36" t="s">
        <v>55</v>
      </c>
      <c r="C483" s="38" t="n">
        <f aca="false">C478+C479-C482</f>
        <v>463.17</v>
      </c>
      <c r="D483" s="38" t="n">
        <f aca="false">D478+D479-D482</f>
        <v>463.17</v>
      </c>
      <c r="E483" s="38" t="n">
        <f aca="false">E478+E479-E482</f>
        <v>463.17</v>
      </c>
      <c r="F483" s="38" t="n">
        <f aca="false">F478+F479-F482</f>
        <v>397.002857142857</v>
      </c>
      <c r="G483" s="38" t="n">
        <f aca="false">G478+G479-G482</f>
        <v>330.835714285714</v>
      </c>
      <c r="H483" s="38" t="n">
        <f aca="false">H478+H479-H482</f>
        <v>264.668571428571</v>
      </c>
      <c r="I483" s="38" t="n">
        <f aca="false">I478+I479-I482</f>
        <v>198.501428571429</v>
      </c>
      <c r="J483" s="38" t="n">
        <f aca="false">J478+J479-J482</f>
        <v>132.334285714286</v>
      </c>
      <c r="K483" s="38" t="n">
        <f aca="false">K478+K479-K482</f>
        <v>66.1671428571429</v>
      </c>
      <c r="L483" s="38" t="n">
        <f aca="false">L478+L479-L482</f>
        <v>0</v>
      </c>
      <c r="M483" s="38" t="n">
        <f aca="false">M478+M479-M482</f>
        <v>0</v>
      </c>
    </row>
    <row r="484" customFormat="false" ht="15" hidden="false" customHeight="false" outlineLevel="0" collapsed="false">
      <c r="A484" s="24" t="s">
        <v>289</v>
      </c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</row>
    <row r="485" customFormat="false" ht="15" hidden="false" customHeight="false" outlineLevel="0" collapsed="false">
      <c r="A485" s="26" t="s">
        <v>152</v>
      </c>
      <c r="B485" s="36" t="s">
        <v>55</v>
      </c>
      <c r="D485" s="37" t="n">
        <f aca="false">D451</f>
        <v>181.5</v>
      </c>
      <c r="E485" s="37" t="n">
        <f aca="false">E451</f>
        <v>223.08</v>
      </c>
      <c r="F485" s="37" t="n">
        <f aca="false">F451</f>
        <v>267.696</v>
      </c>
      <c r="G485" s="37" t="n">
        <f aca="false">G451</f>
        <v>296.964096</v>
      </c>
      <c r="H485" s="37" t="n">
        <f aca="false">H451</f>
        <v>308.84265984</v>
      </c>
      <c r="I485" s="37" t="n">
        <f aca="false">I451</f>
        <v>329.22627538944</v>
      </c>
      <c r="J485" s="37" t="n">
        <f aca="false">J451</f>
        <v>342.395326405018</v>
      </c>
      <c r="K485" s="37" t="n">
        <f aca="false">K451</f>
        <v>356.091139461218</v>
      </c>
      <c r="L485" s="37" t="n">
        <f aca="false">L451</f>
        <v>370.334785039667</v>
      </c>
      <c r="M485" s="37" t="n">
        <f aca="false">M451</f>
        <v>385.148176441254</v>
      </c>
    </row>
    <row r="486" customFormat="false" ht="15" hidden="false" customHeight="false" outlineLevel="0" collapsed="false">
      <c r="A486" s="26" t="s">
        <v>77</v>
      </c>
      <c r="B486" s="36" t="s">
        <v>55</v>
      </c>
      <c r="D486" s="37" t="n">
        <f aca="false">D461</f>
        <v>84.77733</v>
      </c>
      <c r="E486" s="37" t="n">
        <f aca="false">E461</f>
        <v>94.4334325</v>
      </c>
      <c r="F486" s="37" t="n">
        <f aca="false">F461</f>
        <v>104.849977375</v>
      </c>
      <c r="G486" s="37" t="n">
        <f aca="false">G461</f>
        <v>112.985900368</v>
      </c>
      <c r="H486" s="37" t="n">
        <f aca="false">H461</f>
        <v>118.45028086672</v>
      </c>
      <c r="I486" s="37" t="n">
        <f aca="false">I461</f>
        <v>125.567747395278</v>
      </c>
      <c r="J486" s="37" t="n">
        <f aca="false">J461</f>
        <v>131.702391497478</v>
      </c>
      <c r="K486" s="37" t="n">
        <f aca="false">K461</f>
        <v>138.167685342153</v>
      </c>
      <c r="L486" s="37" t="n">
        <f aca="false">L461</f>
        <v>144.981683384403</v>
      </c>
      <c r="M486" s="37" t="n">
        <f aca="false">M461</f>
        <v>152.163437596795</v>
      </c>
    </row>
    <row r="487" customFormat="false" ht="15" hidden="false" customHeight="false" outlineLevel="0" collapsed="false">
      <c r="A487" s="9" t="s">
        <v>20</v>
      </c>
      <c r="B487" s="36" t="s">
        <v>55</v>
      </c>
      <c r="D487" s="38" t="n">
        <f aca="false">D485-D486</f>
        <v>96.72267</v>
      </c>
      <c r="E487" s="38" t="n">
        <f aca="false">E485-E486</f>
        <v>128.6465675</v>
      </c>
      <c r="F487" s="38" t="n">
        <f aca="false">F485-F486</f>
        <v>162.846022625</v>
      </c>
      <c r="G487" s="38" t="n">
        <f aca="false">G485-G486</f>
        <v>183.978195632</v>
      </c>
      <c r="H487" s="38" t="n">
        <f aca="false">H485-H486</f>
        <v>190.39237897328</v>
      </c>
      <c r="I487" s="38" t="n">
        <f aca="false">I485-I486</f>
        <v>203.658527994162</v>
      </c>
      <c r="J487" s="38" t="n">
        <f aca="false">J485-J486</f>
        <v>210.692934907539</v>
      </c>
      <c r="K487" s="38" t="n">
        <f aca="false">K485-K486</f>
        <v>217.923454119066</v>
      </c>
      <c r="L487" s="38" t="n">
        <f aca="false">L485-L486</f>
        <v>225.353101655264</v>
      </c>
      <c r="M487" s="38" t="n">
        <f aca="false">M485-M486</f>
        <v>232.984738844459</v>
      </c>
    </row>
    <row r="488" customFormat="false" ht="15" hidden="false" customHeight="false" outlineLevel="0" collapsed="false">
      <c r="A488" s="26" t="s">
        <v>184</v>
      </c>
      <c r="B488" s="36" t="s">
        <v>62</v>
      </c>
      <c r="D488" s="40" t="n">
        <f aca="false">IF(D485=0,0,D487/D485)</f>
        <v>0.532907272727273</v>
      </c>
      <c r="E488" s="40" t="n">
        <f aca="false">IF(E485=0,0,E487/E485)</f>
        <v>0.576683555226825</v>
      </c>
      <c r="F488" s="40" t="n">
        <f aca="false">IF(F485=0,0,F487/F485)</f>
        <v>0.608324452457265</v>
      </c>
      <c r="G488" s="40" t="n">
        <f aca="false">IF(G485=0,0,G487/G485)</f>
        <v>0.619530098453383</v>
      </c>
      <c r="H488" s="40" t="n">
        <f aca="false">IF(H485=0,0,H487/H485)</f>
        <v>0.616470467751817</v>
      </c>
      <c r="I488" s="40" t="n">
        <f aca="false">IF(I485=0,0,I487/I485)</f>
        <v>0.618597430454953</v>
      </c>
      <c r="J488" s="40" t="n">
        <f aca="false">IF(J485=0,0,J487/J485)</f>
        <v>0.615349914730763</v>
      </c>
      <c r="K488" s="40" t="n">
        <f aca="false">IF(K485=0,0,K487/K485)</f>
        <v>0.611987859200298</v>
      </c>
      <c r="L488" s="40" t="n">
        <f aca="false">IF(L485=0,0,L487/L485)</f>
        <v>0.608511840525934</v>
      </c>
      <c r="M488" s="40" t="n">
        <f aca="false">IF(M485=0,0,M487/M485)</f>
        <v>0.604922347022966</v>
      </c>
    </row>
    <row r="489" customFormat="false" ht="15" hidden="false" customHeight="false" outlineLevel="0" collapsed="false">
      <c r="A489" s="26" t="s">
        <v>185</v>
      </c>
      <c r="B489" s="36" t="s">
        <v>55</v>
      </c>
      <c r="D489" s="37" t="n">
        <f aca="false">D470</f>
        <v>42.48</v>
      </c>
      <c r="E489" s="37" t="n">
        <f aca="false">E470</f>
        <v>42.48</v>
      </c>
      <c r="F489" s="37" t="n">
        <f aca="false">F470</f>
        <v>42.48</v>
      </c>
      <c r="G489" s="37" t="n">
        <f aca="false">G470</f>
        <v>42.48</v>
      </c>
      <c r="H489" s="37" t="n">
        <f aca="false">H470</f>
        <v>42.48</v>
      </c>
      <c r="I489" s="37" t="n">
        <f aca="false">I470</f>
        <v>38.08</v>
      </c>
      <c r="J489" s="37" t="n">
        <f aca="false">J470</f>
        <v>38.08</v>
      </c>
      <c r="K489" s="37" t="n">
        <f aca="false">K470</f>
        <v>38.08</v>
      </c>
      <c r="L489" s="37" t="n">
        <f aca="false">L470</f>
        <v>38.08</v>
      </c>
      <c r="M489" s="37" t="n">
        <f aca="false">M470</f>
        <v>38.08</v>
      </c>
    </row>
    <row r="490" customFormat="false" ht="15" hidden="false" customHeight="false" outlineLevel="0" collapsed="false">
      <c r="A490" s="9" t="s">
        <v>186</v>
      </c>
      <c r="B490" s="36" t="s">
        <v>55</v>
      </c>
      <c r="D490" s="43" t="n">
        <f aca="false">D487-D489</f>
        <v>54.24267</v>
      </c>
      <c r="E490" s="43" t="n">
        <f aca="false">E487-E489</f>
        <v>86.1665675</v>
      </c>
      <c r="F490" s="43" t="n">
        <f aca="false">F487-F489</f>
        <v>120.366022625</v>
      </c>
      <c r="G490" s="43" t="n">
        <f aca="false">G487-G489</f>
        <v>141.498195632</v>
      </c>
      <c r="H490" s="43" t="n">
        <f aca="false">H487-H489</f>
        <v>147.91237897328</v>
      </c>
      <c r="I490" s="43" t="n">
        <f aca="false">I487-I489</f>
        <v>165.578527994162</v>
      </c>
      <c r="J490" s="43" t="n">
        <f aca="false">J487-J489</f>
        <v>172.612934907539</v>
      </c>
      <c r="K490" s="43" t="n">
        <f aca="false">K487-K489</f>
        <v>179.843454119066</v>
      </c>
      <c r="L490" s="43" t="n">
        <f aca="false">L487-L489</f>
        <v>187.273101655264</v>
      </c>
      <c r="M490" s="43" t="n">
        <f aca="false">M487-M489</f>
        <v>194.904738844459</v>
      </c>
    </row>
    <row r="491" customFormat="false" ht="15" hidden="false" customHeight="false" outlineLevel="0" collapsed="false">
      <c r="A491" s="26" t="s">
        <v>187</v>
      </c>
      <c r="B491" s="36" t="s">
        <v>55</v>
      </c>
      <c r="D491" s="37" t="n">
        <f aca="false">D481</f>
        <v>48.63285</v>
      </c>
      <c r="E491" s="37" t="n">
        <f aca="false">E481</f>
        <v>48.63285</v>
      </c>
      <c r="F491" s="37" t="n">
        <f aca="false">F481</f>
        <v>48.63285</v>
      </c>
      <c r="G491" s="37" t="n">
        <f aca="false">G481</f>
        <v>41.6853</v>
      </c>
      <c r="H491" s="37" t="n">
        <f aca="false">H481</f>
        <v>34.73775</v>
      </c>
      <c r="I491" s="37" t="n">
        <f aca="false">I481</f>
        <v>27.7902</v>
      </c>
      <c r="J491" s="37" t="n">
        <f aca="false">J481</f>
        <v>20.84265</v>
      </c>
      <c r="K491" s="37" t="n">
        <f aca="false">K481</f>
        <v>13.8951</v>
      </c>
      <c r="L491" s="37" t="n">
        <f aca="false">L481</f>
        <v>6.94755</v>
      </c>
      <c r="M491" s="37" t="n">
        <f aca="false">M481</f>
        <v>0</v>
      </c>
    </row>
    <row r="492" customFormat="false" ht="15" hidden="false" customHeight="false" outlineLevel="0" collapsed="false">
      <c r="A492" s="9" t="s">
        <v>188</v>
      </c>
      <c r="B492" s="36" t="s">
        <v>55</v>
      </c>
      <c r="D492" s="38" t="n">
        <f aca="false">D490-D491</f>
        <v>5.60981999999999</v>
      </c>
      <c r="E492" s="38" t="n">
        <f aca="false">E490-E491</f>
        <v>37.5337175</v>
      </c>
      <c r="F492" s="38" t="n">
        <f aca="false">F490-F491</f>
        <v>71.733172625</v>
      </c>
      <c r="G492" s="38" t="n">
        <f aca="false">G490-G491</f>
        <v>99.812895632</v>
      </c>
      <c r="H492" s="38" t="n">
        <f aca="false">H490-H491</f>
        <v>113.17462897328</v>
      </c>
      <c r="I492" s="38" t="n">
        <f aca="false">I490-I491</f>
        <v>137.788327994162</v>
      </c>
      <c r="J492" s="38" t="n">
        <f aca="false">J490-J491</f>
        <v>151.770284907539</v>
      </c>
      <c r="K492" s="38" t="n">
        <f aca="false">K490-K491</f>
        <v>165.948354119066</v>
      </c>
      <c r="L492" s="38" t="n">
        <f aca="false">L490-L491</f>
        <v>180.325551655264</v>
      </c>
      <c r="M492" s="38" t="n">
        <f aca="false">M490-M491</f>
        <v>194.904738844459</v>
      </c>
    </row>
    <row r="493" customFormat="false" ht="15" hidden="false" customHeight="false" outlineLevel="0" collapsed="false">
      <c r="A493" s="26" t="s">
        <v>189</v>
      </c>
      <c r="B493" s="36" t="s">
        <v>55</v>
      </c>
      <c r="D493" s="37" t="n">
        <f aca="false">0</f>
        <v>0</v>
      </c>
      <c r="E493" s="37" t="n">
        <f aca="false">D495</f>
        <v>0</v>
      </c>
      <c r="F493" s="37" t="n">
        <f aca="false">E495</f>
        <v>0</v>
      </c>
      <c r="G493" s="37" t="n">
        <f aca="false">F495</f>
        <v>0</v>
      </c>
      <c r="H493" s="37" t="n">
        <f aca="false">G495</f>
        <v>0</v>
      </c>
      <c r="I493" s="37" t="n">
        <f aca="false">H495</f>
        <v>0</v>
      </c>
      <c r="J493" s="37" t="n">
        <f aca="false">I495</f>
        <v>0</v>
      </c>
      <c r="K493" s="37" t="n">
        <f aca="false">J495</f>
        <v>0</v>
      </c>
      <c r="L493" s="37" t="n">
        <f aca="false">K495</f>
        <v>0</v>
      </c>
      <c r="M493" s="37" t="n">
        <f aca="false">L495</f>
        <v>0</v>
      </c>
    </row>
    <row r="494" customFormat="false" ht="15" hidden="false" customHeight="false" outlineLevel="0" collapsed="false">
      <c r="A494" s="26" t="s">
        <v>190</v>
      </c>
      <c r="B494" s="36" t="s">
        <v>55</v>
      </c>
      <c r="D494" s="37" t="n">
        <f aca="false">MAX(0,D492-D493)</f>
        <v>5.60981999999999</v>
      </c>
      <c r="E494" s="37" t="n">
        <f aca="false">MAX(0,E492-E493)</f>
        <v>37.5337175</v>
      </c>
      <c r="F494" s="37" t="n">
        <f aca="false">MAX(0,F492-F493)</f>
        <v>71.733172625</v>
      </c>
      <c r="G494" s="37" t="n">
        <f aca="false">MAX(0,G492-G493)</f>
        <v>99.812895632</v>
      </c>
      <c r="H494" s="37" t="n">
        <f aca="false">MAX(0,H492-H493)</f>
        <v>113.17462897328</v>
      </c>
      <c r="I494" s="37" t="n">
        <f aca="false">MAX(0,I492-I493)</f>
        <v>137.788327994162</v>
      </c>
      <c r="J494" s="37" t="n">
        <f aca="false">MAX(0,J492-J493)</f>
        <v>151.770284907539</v>
      </c>
      <c r="K494" s="37" t="n">
        <f aca="false">MAX(0,K492-K493)</f>
        <v>165.948354119066</v>
      </c>
      <c r="L494" s="37" t="n">
        <f aca="false">MAX(0,L492-L493)</f>
        <v>180.325551655264</v>
      </c>
      <c r="M494" s="37" t="n">
        <f aca="false">MAX(0,M492-M493)</f>
        <v>194.904738844459</v>
      </c>
    </row>
    <row r="495" customFormat="false" ht="15" hidden="false" customHeight="false" outlineLevel="0" collapsed="false">
      <c r="A495" s="26" t="s">
        <v>191</v>
      </c>
      <c r="B495" s="36" t="s">
        <v>55</v>
      </c>
      <c r="D495" s="37" t="n">
        <f aca="false">MAX(0,D493-D492)</f>
        <v>0</v>
      </c>
      <c r="E495" s="37" t="n">
        <f aca="false">MAX(0,E493-E492)</f>
        <v>0</v>
      </c>
      <c r="F495" s="37" t="n">
        <f aca="false">MAX(0,F493-F492)</f>
        <v>0</v>
      </c>
      <c r="G495" s="37" t="n">
        <f aca="false">MAX(0,G493-G492)</f>
        <v>0</v>
      </c>
      <c r="H495" s="37" t="n">
        <f aca="false">MAX(0,H493-H492)</f>
        <v>0</v>
      </c>
      <c r="I495" s="37" t="n">
        <f aca="false">MAX(0,I493-I492)</f>
        <v>0</v>
      </c>
      <c r="J495" s="37" t="n">
        <f aca="false">MAX(0,J493-J492)</f>
        <v>0</v>
      </c>
      <c r="K495" s="37" t="n">
        <f aca="false">MAX(0,K493-K492)</f>
        <v>0</v>
      </c>
      <c r="L495" s="37" t="n">
        <f aca="false">MAX(0,L493-L492)</f>
        <v>0</v>
      </c>
      <c r="M495" s="37" t="n">
        <f aca="false">MAX(0,M493-M492)</f>
        <v>0</v>
      </c>
    </row>
    <row r="496" customFormat="false" ht="15" hidden="false" customHeight="false" outlineLevel="0" collapsed="false">
      <c r="A496" s="26" t="s">
        <v>192</v>
      </c>
      <c r="B496" s="36" t="s">
        <v>55</v>
      </c>
      <c r="D496" s="37" t="n">
        <f aca="false">D494*Inputs!$C$44</f>
        <v>1.411991694</v>
      </c>
      <c r="E496" s="37" t="n">
        <f aca="false">E494*Inputs!$C$44</f>
        <v>9.44723669475</v>
      </c>
      <c r="F496" s="37" t="n">
        <f aca="false">F494*Inputs!$C$44</f>
        <v>18.0552395497125</v>
      </c>
      <c r="G496" s="37" t="n">
        <f aca="false">G494*Inputs!$C$44</f>
        <v>25.1229058305744</v>
      </c>
      <c r="H496" s="37" t="n">
        <f aca="false">H494*Inputs!$C$44</f>
        <v>28.4860541125746</v>
      </c>
      <c r="I496" s="37" t="n">
        <f aca="false">I494*Inputs!$C$44</f>
        <v>34.6813221561306</v>
      </c>
      <c r="J496" s="37" t="n">
        <f aca="false">J494*Inputs!$C$44</f>
        <v>38.2005807112276</v>
      </c>
      <c r="K496" s="37" t="n">
        <f aca="false">K494*Inputs!$C$44</f>
        <v>41.7692007317688</v>
      </c>
      <c r="L496" s="37" t="n">
        <f aca="false">L494*Inputs!$C$44</f>
        <v>45.3879413516299</v>
      </c>
      <c r="M496" s="37" t="n">
        <f aca="false">M494*Inputs!$C$44</f>
        <v>49.0575227671503</v>
      </c>
    </row>
    <row r="497" customFormat="false" ht="15" hidden="false" customHeight="false" outlineLevel="0" collapsed="false">
      <c r="A497" s="9" t="s">
        <v>193</v>
      </c>
      <c r="B497" s="36" t="s">
        <v>55</v>
      </c>
      <c r="D497" s="38" t="n">
        <f aca="false">D492-D496</f>
        <v>4.197828306</v>
      </c>
      <c r="E497" s="38" t="n">
        <f aca="false">E492-E496</f>
        <v>28.08648080525</v>
      </c>
      <c r="F497" s="38" t="n">
        <f aca="false">F492-F496</f>
        <v>53.6779330752875</v>
      </c>
      <c r="G497" s="38" t="n">
        <f aca="false">G492-G496</f>
        <v>74.6899898014256</v>
      </c>
      <c r="H497" s="38" t="n">
        <f aca="false">H492-H496</f>
        <v>84.6885748607054</v>
      </c>
      <c r="I497" s="38" t="n">
        <f aca="false">I492-I496</f>
        <v>103.107005838032</v>
      </c>
      <c r="J497" s="38" t="n">
        <f aca="false">J492-J496</f>
        <v>113.569704196312</v>
      </c>
      <c r="K497" s="38" t="n">
        <f aca="false">K492-K496</f>
        <v>124.179153387297</v>
      </c>
      <c r="L497" s="38" t="n">
        <f aca="false">L492-L496</f>
        <v>134.937610303634</v>
      </c>
      <c r="M497" s="38" t="n">
        <f aca="false">M492-M496</f>
        <v>145.847216077308</v>
      </c>
    </row>
    <row r="498" customFormat="false" ht="15" hidden="false" customHeight="false" outlineLevel="0" collapsed="false">
      <c r="A498" s="24" t="s">
        <v>290</v>
      </c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</row>
    <row r="499" customFormat="false" ht="15" hidden="false" customHeight="false" outlineLevel="0" collapsed="false">
      <c r="A499" s="26" t="s">
        <v>193</v>
      </c>
      <c r="B499" s="36" t="s">
        <v>55</v>
      </c>
      <c r="C499" s="37" t="n">
        <f aca="false">0</f>
        <v>0</v>
      </c>
      <c r="D499" s="37" t="n">
        <f aca="false">D497</f>
        <v>4.197828306</v>
      </c>
      <c r="E499" s="37" t="n">
        <f aca="false">E497</f>
        <v>28.08648080525</v>
      </c>
      <c r="F499" s="37" t="n">
        <f aca="false">F497</f>
        <v>53.6779330752875</v>
      </c>
      <c r="G499" s="37" t="n">
        <f aca="false">G497</f>
        <v>74.6899898014256</v>
      </c>
      <c r="H499" s="37" t="n">
        <f aca="false">H497</f>
        <v>84.6885748607054</v>
      </c>
      <c r="I499" s="37" t="n">
        <f aca="false">I497</f>
        <v>103.107005838032</v>
      </c>
      <c r="J499" s="37" t="n">
        <f aca="false">J497</f>
        <v>113.569704196312</v>
      </c>
      <c r="K499" s="37" t="n">
        <f aca="false">K497</f>
        <v>124.179153387297</v>
      </c>
      <c r="L499" s="37" t="n">
        <f aca="false">L497</f>
        <v>134.937610303634</v>
      </c>
      <c r="M499" s="37" t="n">
        <f aca="false">M497</f>
        <v>145.847216077308</v>
      </c>
    </row>
    <row r="500" customFormat="false" ht="15" hidden="false" customHeight="false" outlineLevel="0" collapsed="false">
      <c r="A500" s="26" t="s">
        <v>196</v>
      </c>
      <c r="B500" s="36" t="s">
        <v>55</v>
      </c>
      <c r="C500" s="37" t="n">
        <f aca="false">0</f>
        <v>0</v>
      </c>
      <c r="D500" s="37" t="n">
        <f aca="false">D470</f>
        <v>42.48</v>
      </c>
      <c r="E500" s="37" t="n">
        <f aca="false">E470</f>
        <v>42.48</v>
      </c>
      <c r="F500" s="37" t="n">
        <f aca="false">F470</f>
        <v>42.48</v>
      </c>
      <c r="G500" s="37" t="n">
        <f aca="false">G470</f>
        <v>42.48</v>
      </c>
      <c r="H500" s="37" t="n">
        <f aca="false">H470</f>
        <v>42.48</v>
      </c>
      <c r="I500" s="37" t="n">
        <f aca="false">I470</f>
        <v>38.08</v>
      </c>
      <c r="J500" s="37" t="n">
        <f aca="false">J470</f>
        <v>38.08</v>
      </c>
      <c r="K500" s="37" t="n">
        <f aca="false">K470</f>
        <v>38.08</v>
      </c>
      <c r="L500" s="37" t="n">
        <f aca="false">L470</f>
        <v>38.08</v>
      </c>
      <c r="M500" s="37" t="n">
        <f aca="false">M470</f>
        <v>38.08</v>
      </c>
    </row>
    <row r="501" customFormat="false" ht="15" hidden="false" customHeight="false" outlineLevel="0" collapsed="false">
      <c r="A501" s="26" t="s">
        <v>197</v>
      </c>
      <c r="B501" s="36" t="s">
        <v>55</v>
      </c>
      <c r="C501" s="37" t="n">
        <f aca="false">0</f>
        <v>0</v>
      </c>
      <c r="D501" s="37" t="n">
        <f aca="false">-(D474-C474)</f>
        <v>-22.3767123287671</v>
      </c>
      <c r="E501" s="37" t="n">
        <f aca="false">-(E474-D474)</f>
        <v>-5.12630136986302</v>
      </c>
      <c r="F501" s="37" t="n">
        <f aca="false">-(F474-E474)</f>
        <v>-5.50060273972603</v>
      </c>
      <c r="G501" s="37" t="n">
        <f aca="false">-(G474-F474)</f>
        <v>-3.60839539726027</v>
      </c>
      <c r="H501" s="37" t="n">
        <f aca="false">-(H474-G474)</f>
        <v>-1.46448047342466</v>
      </c>
      <c r="I501" s="37" t="n">
        <f aca="false">-(I474-H474)</f>
        <v>-2.51304849239672</v>
      </c>
      <c r="J501" s="37" t="n">
        <f aca="false">-(J474-I474)</f>
        <v>-1.62358163205752</v>
      </c>
      <c r="K501" s="37" t="n">
        <f aca="false">-(K474-J474)</f>
        <v>-1.68852489733982</v>
      </c>
      <c r="L501" s="37" t="n">
        <f aca="false">-(L474-K474)</f>
        <v>-1.75606589323341</v>
      </c>
      <c r="M501" s="37" t="n">
        <f aca="false">-(M474-L474)</f>
        <v>-1.82630852896274</v>
      </c>
    </row>
    <row r="502" customFormat="false" ht="15" hidden="false" customHeight="false" outlineLevel="0" collapsed="false">
      <c r="A502" s="26" t="s">
        <v>198</v>
      </c>
      <c r="B502" s="36" t="s">
        <v>55</v>
      </c>
      <c r="C502" s="37" t="n">
        <f aca="false">0</f>
        <v>0</v>
      </c>
      <c r="D502" s="37" t="n">
        <f aca="false">D475-C475</f>
        <v>6.9679997260274</v>
      </c>
      <c r="E502" s="37" t="n">
        <f aca="false">E475-D475</f>
        <v>0.793652260273973</v>
      </c>
      <c r="F502" s="37" t="n">
        <f aca="false">F475-E475</f>
        <v>0.856154373287672</v>
      </c>
      <c r="G502" s="37" t="n">
        <f aca="false">G475-F475</f>
        <v>0.668705999424656</v>
      </c>
      <c r="H502" s="37" t="n">
        <f aca="false">H475-G475</f>
        <v>0.449127164278359</v>
      </c>
      <c r="I502" s="37" t="n">
        <f aca="false">I475-H475</f>
        <v>0.584997248922557</v>
      </c>
      <c r="J502" s="37" t="n">
        <f aca="false">J475-I475</f>
        <v>0.50421732346854</v>
      </c>
      <c r="K502" s="37" t="n">
        <f aca="false">K475-J475</f>
        <v>0.531394014630772</v>
      </c>
      <c r="L502" s="37" t="n">
        <f aca="false">L475-K475</f>
        <v>0.560054633609621</v>
      </c>
      <c r="M502" s="37" t="n">
        <f aca="false">M475-L475</f>
        <v>0.590281168141804</v>
      </c>
    </row>
    <row r="503" customFormat="false" ht="15" hidden="false" customHeight="false" outlineLevel="0" collapsed="false">
      <c r="A503" s="9" t="s">
        <v>199</v>
      </c>
      <c r="B503" s="36" t="s">
        <v>55</v>
      </c>
      <c r="C503" s="38" t="n">
        <f aca="false">SUM(C499:C502)</f>
        <v>0</v>
      </c>
      <c r="D503" s="38" t="n">
        <f aca="false">SUM(D499:D502)</f>
        <v>31.2691157032603</v>
      </c>
      <c r="E503" s="38" t="n">
        <f aca="false">SUM(E499:E502)</f>
        <v>66.233831695661</v>
      </c>
      <c r="F503" s="38" t="n">
        <f aca="false">SUM(F499:F502)</f>
        <v>91.5134847088492</v>
      </c>
      <c r="G503" s="38" t="n">
        <f aca="false">SUM(G499:G502)</f>
        <v>114.23030040359</v>
      </c>
      <c r="H503" s="38" t="n">
        <f aca="false">SUM(H499:H502)</f>
        <v>126.153221551559</v>
      </c>
      <c r="I503" s="38" t="n">
        <f aca="false">SUM(I499:I502)</f>
        <v>139.258954594557</v>
      </c>
      <c r="J503" s="38" t="n">
        <f aca="false">SUM(J499:J502)</f>
        <v>150.530339887723</v>
      </c>
      <c r="K503" s="38" t="n">
        <f aca="false">SUM(K499:K502)</f>
        <v>161.102022504588</v>
      </c>
      <c r="L503" s="38" t="n">
        <f aca="false">SUM(L499:L502)</f>
        <v>171.82159904401</v>
      </c>
      <c r="M503" s="38" t="n">
        <f aca="false">SUM(M499:M502)</f>
        <v>182.691188716488</v>
      </c>
    </row>
    <row r="504" customFormat="false" ht="15" hidden="false" customHeight="false" outlineLevel="0" collapsed="false">
      <c r="A504" s="26" t="s">
        <v>200</v>
      </c>
      <c r="B504" s="36" t="s">
        <v>55</v>
      </c>
      <c r="C504" s="37" t="n">
        <f aca="false">-C431</f>
        <v>-753.95</v>
      </c>
      <c r="D504" s="37" t="n">
        <f aca="false">0</f>
        <v>0</v>
      </c>
      <c r="E504" s="37" t="n">
        <f aca="false">0</f>
        <v>0</v>
      </c>
      <c r="F504" s="37" t="n">
        <f aca="false">0</f>
        <v>0</v>
      </c>
      <c r="G504" s="37" t="n">
        <f aca="false">0</f>
        <v>0</v>
      </c>
      <c r="H504" s="37" t="n">
        <f aca="false">0</f>
        <v>0</v>
      </c>
      <c r="I504" s="37" t="n">
        <f aca="false">0</f>
        <v>0</v>
      </c>
      <c r="J504" s="37" t="n">
        <f aca="false">0</f>
        <v>0</v>
      </c>
      <c r="K504" s="37" t="n">
        <f aca="false">0</f>
        <v>0</v>
      </c>
      <c r="L504" s="37" t="n">
        <f aca="false">0</f>
        <v>0</v>
      </c>
      <c r="M504" s="37" t="n">
        <f aca="false">0</f>
        <v>0</v>
      </c>
    </row>
    <row r="505" customFormat="false" ht="15" hidden="false" customHeight="false" outlineLevel="0" collapsed="false">
      <c r="A505" s="9" t="s">
        <v>201</v>
      </c>
      <c r="B505" s="36" t="s">
        <v>55</v>
      </c>
      <c r="C505" s="43" t="n">
        <f aca="false">C504</f>
        <v>-753.95</v>
      </c>
      <c r="D505" s="43" t="n">
        <f aca="false">D504</f>
        <v>0</v>
      </c>
      <c r="E505" s="43" t="n">
        <f aca="false">E504</f>
        <v>0</v>
      </c>
      <c r="F505" s="43" t="n">
        <f aca="false">F504</f>
        <v>0</v>
      </c>
      <c r="G505" s="43" t="n">
        <f aca="false">G504</f>
        <v>0</v>
      </c>
      <c r="H505" s="43" t="n">
        <f aca="false">H504</f>
        <v>0</v>
      </c>
      <c r="I505" s="43" t="n">
        <f aca="false">I504</f>
        <v>0</v>
      </c>
      <c r="J505" s="43" t="n">
        <f aca="false">J504</f>
        <v>0</v>
      </c>
      <c r="K505" s="43" t="n">
        <f aca="false">K504</f>
        <v>0</v>
      </c>
      <c r="L505" s="43" t="n">
        <f aca="false">L504</f>
        <v>0</v>
      </c>
      <c r="M505" s="43" t="n">
        <f aca="false">M504</f>
        <v>0</v>
      </c>
    </row>
    <row r="506" customFormat="false" ht="15" hidden="false" customHeight="false" outlineLevel="0" collapsed="false">
      <c r="A506" s="26" t="s">
        <v>202</v>
      </c>
      <c r="B506" s="36" t="s">
        <v>55</v>
      </c>
      <c r="C506" s="37" t="n">
        <f aca="false">C437</f>
        <v>308.78</v>
      </c>
      <c r="D506" s="37" t="n">
        <f aca="false">0</f>
        <v>0</v>
      </c>
      <c r="E506" s="37" t="n">
        <f aca="false">0</f>
        <v>0</v>
      </c>
      <c r="F506" s="37" t="n">
        <f aca="false">0</f>
        <v>0</v>
      </c>
      <c r="G506" s="37" t="n">
        <f aca="false">0</f>
        <v>0</v>
      </c>
      <c r="H506" s="37" t="n">
        <f aca="false">0</f>
        <v>0</v>
      </c>
      <c r="I506" s="37" t="n">
        <f aca="false">0</f>
        <v>0</v>
      </c>
      <c r="J506" s="37" t="n">
        <f aca="false">0</f>
        <v>0</v>
      </c>
      <c r="K506" s="37" t="n">
        <f aca="false">0</f>
        <v>0</v>
      </c>
      <c r="L506" s="37" t="n">
        <f aca="false">0</f>
        <v>0</v>
      </c>
      <c r="M506" s="37" t="n">
        <f aca="false">0</f>
        <v>0</v>
      </c>
    </row>
    <row r="507" customFormat="false" ht="15" hidden="false" customHeight="false" outlineLevel="0" collapsed="false">
      <c r="A507" s="26" t="s">
        <v>203</v>
      </c>
      <c r="B507" s="36" t="s">
        <v>55</v>
      </c>
      <c r="C507" s="37" t="n">
        <f aca="false">C479</f>
        <v>463.17</v>
      </c>
      <c r="D507" s="37" t="n">
        <f aca="false">D479</f>
        <v>0</v>
      </c>
      <c r="E507" s="37" t="n">
        <f aca="false">E479</f>
        <v>0</v>
      </c>
      <c r="F507" s="37" t="n">
        <f aca="false">F479</f>
        <v>0</v>
      </c>
      <c r="G507" s="37" t="n">
        <f aca="false">G479</f>
        <v>0</v>
      </c>
      <c r="H507" s="37" t="n">
        <f aca="false">H479</f>
        <v>0</v>
      </c>
      <c r="I507" s="37" t="n">
        <f aca="false">I479</f>
        <v>0</v>
      </c>
      <c r="J507" s="37" t="n">
        <f aca="false">J479</f>
        <v>0</v>
      </c>
      <c r="K507" s="37" t="n">
        <f aca="false">K479</f>
        <v>0</v>
      </c>
      <c r="L507" s="37" t="n">
        <f aca="false">L479</f>
        <v>0</v>
      </c>
      <c r="M507" s="37" t="n">
        <f aca="false">M479</f>
        <v>0</v>
      </c>
    </row>
    <row r="508" customFormat="false" ht="15" hidden="false" customHeight="false" outlineLevel="0" collapsed="false">
      <c r="A508" s="26" t="s">
        <v>204</v>
      </c>
      <c r="B508" s="36" t="s">
        <v>55</v>
      </c>
      <c r="C508" s="37" t="n">
        <f aca="false">-C482</f>
        <v>-0</v>
      </c>
      <c r="D508" s="37" t="n">
        <f aca="false">-D482</f>
        <v>-0</v>
      </c>
      <c r="E508" s="37" t="n">
        <f aca="false">-E482</f>
        <v>-0</v>
      </c>
      <c r="F508" s="37" t="n">
        <f aca="false">-F482</f>
        <v>-66.1671428571429</v>
      </c>
      <c r="G508" s="37" t="n">
        <f aca="false">-G482</f>
        <v>-66.1671428571429</v>
      </c>
      <c r="H508" s="37" t="n">
        <f aca="false">-H482</f>
        <v>-66.1671428571429</v>
      </c>
      <c r="I508" s="37" t="n">
        <f aca="false">-I482</f>
        <v>-66.1671428571429</v>
      </c>
      <c r="J508" s="37" t="n">
        <f aca="false">-J482</f>
        <v>-66.1671428571429</v>
      </c>
      <c r="K508" s="37" t="n">
        <f aca="false">-K482</f>
        <v>-66.1671428571429</v>
      </c>
      <c r="L508" s="37" t="n">
        <f aca="false">-L482</f>
        <v>-66.1671428571429</v>
      </c>
      <c r="M508" s="37" t="n">
        <f aca="false">-M482</f>
        <v>-0</v>
      </c>
    </row>
    <row r="509" customFormat="false" ht="15" hidden="false" customHeight="false" outlineLevel="0" collapsed="false">
      <c r="A509" s="9" t="s">
        <v>205</v>
      </c>
      <c r="B509" s="36" t="s">
        <v>55</v>
      </c>
      <c r="C509" s="38" t="n">
        <f aca="false">SUM(C506:C508)</f>
        <v>771.95</v>
      </c>
      <c r="D509" s="38" t="n">
        <f aca="false">SUM(D506:D508)</f>
        <v>0</v>
      </c>
      <c r="E509" s="38" t="n">
        <f aca="false">SUM(E506:E508)</f>
        <v>0</v>
      </c>
      <c r="F509" s="38" t="n">
        <f aca="false">SUM(F506:F508)</f>
        <v>-66.1671428571429</v>
      </c>
      <c r="G509" s="38" t="n">
        <f aca="false">SUM(G506:G508)</f>
        <v>-66.1671428571429</v>
      </c>
      <c r="H509" s="38" t="n">
        <f aca="false">SUM(H506:H508)</f>
        <v>-66.1671428571429</v>
      </c>
      <c r="I509" s="38" t="n">
        <f aca="false">SUM(I506:I508)</f>
        <v>-66.1671428571429</v>
      </c>
      <c r="J509" s="38" t="n">
        <f aca="false">SUM(J506:J508)</f>
        <v>-66.1671428571429</v>
      </c>
      <c r="K509" s="38" t="n">
        <f aca="false">SUM(K506:K508)</f>
        <v>-66.1671428571429</v>
      </c>
      <c r="L509" s="38" t="n">
        <f aca="false">SUM(L506:L508)</f>
        <v>-66.1671428571429</v>
      </c>
      <c r="M509" s="38" t="n">
        <f aca="false">SUM(M506:M508)</f>
        <v>0</v>
      </c>
    </row>
    <row r="510" customFormat="false" ht="15" hidden="false" customHeight="false" outlineLevel="0" collapsed="false">
      <c r="A510" s="9" t="s">
        <v>206</v>
      </c>
      <c r="B510" s="36" t="s">
        <v>55</v>
      </c>
      <c r="C510" s="43" t="n">
        <f aca="false">C503+C505+C509</f>
        <v>18</v>
      </c>
      <c r="D510" s="43" t="n">
        <f aca="false">D503+D505+D509</f>
        <v>31.2691157032603</v>
      </c>
      <c r="E510" s="43" t="n">
        <f aca="false">E503+E505+E509</f>
        <v>66.233831695661</v>
      </c>
      <c r="F510" s="43" t="n">
        <f aca="false">F503+F505+F509</f>
        <v>25.3463418517063</v>
      </c>
      <c r="G510" s="43" t="n">
        <f aca="false">G503+G505+G509</f>
        <v>48.0631575464471</v>
      </c>
      <c r="H510" s="43" t="n">
        <f aca="false">H503+H505+H509</f>
        <v>59.9860786944162</v>
      </c>
      <c r="I510" s="43" t="n">
        <f aca="false">I503+I505+I509</f>
        <v>73.0918117374146</v>
      </c>
      <c r="J510" s="43" t="n">
        <f aca="false">J503+J505+J509</f>
        <v>84.3631970305798</v>
      </c>
      <c r="K510" s="43" t="n">
        <f aca="false">K503+K505+K509</f>
        <v>94.9348796474449</v>
      </c>
      <c r="L510" s="43" t="n">
        <f aca="false">L503+L505+L509</f>
        <v>105.654456186867</v>
      </c>
      <c r="M510" s="43" t="n">
        <f aca="false">M503+M505+M509</f>
        <v>182.691188716488</v>
      </c>
    </row>
    <row r="511" customFormat="false" ht="15" hidden="false" customHeight="false" outlineLevel="0" collapsed="false">
      <c r="A511" s="26" t="s">
        <v>207</v>
      </c>
      <c r="B511" s="36" t="s">
        <v>55</v>
      </c>
      <c r="C511" s="37" t="n">
        <f aca="false">0</f>
        <v>0</v>
      </c>
      <c r="D511" s="37" t="n">
        <f aca="false">C512</f>
        <v>18</v>
      </c>
      <c r="E511" s="37" t="n">
        <f aca="false">D512</f>
        <v>49.2691157032603</v>
      </c>
      <c r="F511" s="37" t="n">
        <f aca="false">E512</f>
        <v>115.502947398921</v>
      </c>
      <c r="G511" s="37" t="n">
        <f aca="false">F512</f>
        <v>140.849289250628</v>
      </c>
      <c r="H511" s="37" t="n">
        <f aca="false">G512</f>
        <v>188.912446797075</v>
      </c>
      <c r="I511" s="37" t="n">
        <f aca="false">H512</f>
        <v>248.898525491491</v>
      </c>
      <c r="J511" s="37" t="n">
        <f aca="false">I512</f>
        <v>321.990337228905</v>
      </c>
      <c r="K511" s="37" t="n">
        <f aca="false">J512</f>
        <v>406.353534259485</v>
      </c>
      <c r="L511" s="37" t="n">
        <f aca="false">K512</f>
        <v>501.28841390693</v>
      </c>
      <c r="M511" s="37" t="n">
        <f aca="false">L512</f>
        <v>606.942870093797</v>
      </c>
    </row>
    <row r="512" customFormat="false" ht="15" hidden="false" customHeight="false" outlineLevel="0" collapsed="false">
      <c r="A512" s="9" t="s">
        <v>28</v>
      </c>
      <c r="B512" s="36" t="s">
        <v>55</v>
      </c>
      <c r="C512" s="38" t="n">
        <f aca="false">C511+C510</f>
        <v>18</v>
      </c>
      <c r="D512" s="38" t="n">
        <f aca="false">D511+D510</f>
        <v>49.2691157032603</v>
      </c>
      <c r="E512" s="38" t="n">
        <f aca="false">E511+E510</f>
        <v>115.502947398921</v>
      </c>
      <c r="F512" s="38" t="n">
        <f aca="false">F511+F510</f>
        <v>140.849289250628</v>
      </c>
      <c r="G512" s="38" t="n">
        <f aca="false">G511+G510</f>
        <v>188.912446797075</v>
      </c>
      <c r="H512" s="38" t="n">
        <f aca="false">H511+H510</f>
        <v>248.898525491491</v>
      </c>
      <c r="I512" s="38" t="n">
        <f aca="false">I511+I510</f>
        <v>321.990337228905</v>
      </c>
      <c r="J512" s="38" t="n">
        <f aca="false">J511+J510</f>
        <v>406.353534259485</v>
      </c>
      <c r="K512" s="38" t="n">
        <f aca="false">K511+K510</f>
        <v>501.28841390693</v>
      </c>
      <c r="L512" s="38" t="n">
        <f aca="false">L511+L510</f>
        <v>606.942870093797</v>
      </c>
      <c r="M512" s="38" t="n">
        <f aca="false">M511+M510</f>
        <v>789.634058810285</v>
      </c>
    </row>
    <row r="513" customFormat="false" ht="15" hidden="false" customHeight="false" outlineLevel="0" collapsed="false">
      <c r="A513" s="24" t="s">
        <v>291</v>
      </c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</row>
    <row r="514" customFormat="false" ht="15" hidden="false" customHeight="false" outlineLevel="0" collapsed="false">
      <c r="A514" s="26" t="s">
        <v>210</v>
      </c>
      <c r="B514" s="36" t="s">
        <v>55</v>
      </c>
      <c r="C514" s="37" t="n">
        <f aca="false">C471</f>
        <v>753.95</v>
      </c>
      <c r="D514" s="37" t="n">
        <f aca="false">D471</f>
        <v>711.47</v>
      </c>
      <c r="E514" s="37" t="n">
        <f aca="false">E471</f>
        <v>668.99</v>
      </c>
      <c r="F514" s="37" t="n">
        <f aca="false">F471</f>
        <v>626.51</v>
      </c>
      <c r="G514" s="37" t="n">
        <f aca="false">G471</f>
        <v>584.03</v>
      </c>
      <c r="H514" s="37" t="n">
        <f aca="false">H471</f>
        <v>541.55</v>
      </c>
      <c r="I514" s="37" t="n">
        <f aca="false">I471</f>
        <v>503.47</v>
      </c>
      <c r="J514" s="37" t="n">
        <f aca="false">J471</f>
        <v>465.39</v>
      </c>
      <c r="K514" s="37" t="n">
        <f aca="false">K471</f>
        <v>427.31</v>
      </c>
      <c r="L514" s="37" t="n">
        <f aca="false">L471</f>
        <v>389.23</v>
      </c>
      <c r="M514" s="37" t="n">
        <f aca="false">M471</f>
        <v>351.15</v>
      </c>
    </row>
    <row r="515" customFormat="false" ht="15" hidden="false" customHeight="false" outlineLevel="0" collapsed="false">
      <c r="A515" s="26" t="s">
        <v>171</v>
      </c>
      <c r="B515" s="36" t="s">
        <v>55</v>
      </c>
      <c r="C515" s="37" t="n">
        <f aca="false">C474</f>
        <v>0</v>
      </c>
      <c r="D515" s="37" t="n">
        <f aca="false">D474</f>
        <v>22.3767123287671</v>
      </c>
      <c r="E515" s="37" t="n">
        <f aca="false">E474</f>
        <v>27.5030136986301</v>
      </c>
      <c r="F515" s="37" t="n">
        <f aca="false">F474</f>
        <v>33.0036164383562</v>
      </c>
      <c r="G515" s="37" t="n">
        <f aca="false">G474</f>
        <v>36.6120118356164</v>
      </c>
      <c r="H515" s="37" t="n">
        <f aca="false">H474</f>
        <v>38.0764923090411</v>
      </c>
      <c r="I515" s="37" t="n">
        <f aca="false">I474</f>
        <v>40.5895408014378</v>
      </c>
      <c r="J515" s="37" t="n">
        <f aca="false">J474</f>
        <v>42.2131224334953</v>
      </c>
      <c r="K515" s="37" t="n">
        <f aca="false">K474</f>
        <v>43.9016473308352</v>
      </c>
      <c r="L515" s="37" t="n">
        <f aca="false">L474</f>
        <v>45.6577132240686</v>
      </c>
      <c r="M515" s="37" t="n">
        <f aca="false">M474</f>
        <v>47.4840217530313</v>
      </c>
    </row>
    <row r="516" customFormat="false" ht="15" hidden="false" customHeight="false" outlineLevel="0" collapsed="false">
      <c r="A516" s="26" t="s">
        <v>211</v>
      </c>
      <c r="B516" s="36" t="s">
        <v>55</v>
      </c>
      <c r="C516" s="37" t="n">
        <f aca="false">C512</f>
        <v>18</v>
      </c>
      <c r="D516" s="37" t="n">
        <f aca="false">D512</f>
        <v>49.2691157032603</v>
      </c>
      <c r="E516" s="37" t="n">
        <f aca="false">E512</f>
        <v>115.502947398921</v>
      </c>
      <c r="F516" s="37" t="n">
        <f aca="false">F512</f>
        <v>140.849289250628</v>
      </c>
      <c r="G516" s="37" t="n">
        <f aca="false">G512</f>
        <v>188.912446797075</v>
      </c>
      <c r="H516" s="37" t="n">
        <f aca="false">H512</f>
        <v>248.898525491491</v>
      </c>
      <c r="I516" s="37" t="n">
        <f aca="false">I512</f>
        <v>321.990337228905</v>
      </c>
      <c r="J516" s="37" t="n">
        <f aca="false">J512</f>
        <v>406.353534259485</v>
      </c>
      <c r="K516" s="37" t="n">
        <f aca="false">K512</f>
        <v>501.28841390693</v>
      </c>
      <c r="L516" s="37" t="n">
        <f aca="false">L512</f>
        <v>606.942870093797</v>
      </c>
      <c r="M516" s="37" t="n">
        <f aca="false">M512</f>
        <v>789.634058810285</v>
      </c>
    </row>
    <row r="517" customFormat="false" ht="15" hidden="false" customHeight="false" outlineLevel="0" collapsed="false">
      <c r="A517" s="9" t="s">
        <v>212</v>
      </c>
      <c r="B517" s="36" t="s">
        <v>55</v>
      </c>
      <c r="C517" s="38" t="n">
        <f aca="false">SUM(C514:C516)</f>
        <v>771.95</v>
      </c>
      <c r="D517" s="38" t="n">
        <f aca="false">SUM(D514:D516)</f>
        <v>783.115828032027</v>
      </c>
      <c r="E517" s="38" t="n">
        <f aca="false">SUM(E514:E516)</f>
        <v>811.995961097552</v>
      </c>
      <c r="F517" s="38" t="n">
        <f aca="false">SUM(F514:F516)</f>
        <v>800.362905688984</v>
      </c>
      <c r="G517" s="38" t="n">
        <f aca="false">SUM(G514:G516)</f>
        <v>809.554458632691</v>
      </c>
      <c r="H517" s="38" t="n">
        <f aca="false">SUM(H514:H516)</f>
        <v>828.525017800532</v>
      </c>
      <c r="I517" s="38" t="n">
        <f aca="false">SUM(I514:I516)</f>
        <v>866.049878030343</v>
      </c>
      <c r="J517" s="38" t="n">
        <f aca="false">SUM(J514:J516)</f>
        <v>913.956656692981</v>
      </c>
      <c r="K517" s="38" t="n">
        <f aca="false">SUM(K514:K516)</f>
        <v>972.500061237765</v>
      </c>
      <c r="L517" s="38" t="n">
        <f aca="false">SUM(L514:L516)</f>
        <v>1041.83058331787</v>
      </c>
      <c r="M517" s="38" t="n">
        <f aca="false">SUM(M514:M516)</f>
        <v>1188.26808056332</v>
      </c>
    </row>
    <row r="518" customFormat="false" ht="15" hidden="false" customHeight="false" outlineLevel="0" collapsed="false">
      <c r="A518" s="26" t="s">
        <v>213</v>
      </c>
      <c r="B518" s="36" t="s">
        <v>55</v>
      </c>
      <c r="C518" s="37" t="n">
        <f aca="false">C506</f>
        <v>308.78</v>
      </c>
      <c r="D518" s="37" t="n">
        <f aca="false">C518+D506</f>
        <v>308.78</v>
      </c>
      <c r="E518" s="37" t="n">
        <f aca="false">D518+E506</f>
        <v>308.78</v>
      </c>
      <c r="F518" s="37" t="n">
        <f aca="false">E518+F506</f>
        <v>308.78</v>
      </c>
      <c r="G518" s="37" t="n">
        <f aca="false">F518+G506</f>
        <v>308.78</v>
      </c>
      <c r="H518" s="37" t="n">
        <f aca="false">G518+H506</f>
        <v>308.78</v>
      </c>
      <c r="I518" s="37" t="n">
        <f aca="false">H518+I506</f>
        <v>308.78</v>
      </c>
      <c r="J518" s="37" t="n">
        <f aca="false">I518+J506</f>
        <v>308.78</v>
      </c>
      <c r="K518" s="37" t="n">
        <f aca="false">J518+K506</f>
        <v>308.78</v>
      </c>
      <c r="L518" s="37" t="n">
        <f aca="false">K518+L506</f>
        <v>308.78</v>
      </c>
      <c r="M518" s="37" t="n">
        <f aca="false">L518+M506</f>
        <v>308.78</v>
      </c>
    </row>
    <row r="519" customFormat="false" ht="15" hidden="false" customHeight="false" outlineLevel="0" collapsed="false">
      <c r="A519" s="26" t="s">
        <v>214</v>
      </c>
      <c r="B519" s="36" t="s">
        <v>55</v>
      </c>
      <c r="C519" s="37" t="n">
        <f aca="false">C499</f>
        <v>0</v>
      </c>
      <c r="D519" s="37" t="n">
        <f aca="false">C519+D499</f>
        <v>4.197828306</v>
      </c>
      <c r="E519" s="37" t="n">
        <f aca="false">D519+E499</f>
        <v>32.28430911125</v>
      </c>
      <c r="F519" s="37" t="n">
        <f aca="false">E519+F499</f>
        <v>85.9622421865375</v>
      </c>
      <c r="G519" s="37" t="n">
        <f aca="false">F519+G499</f>
        <v>160.652231987963</v>
      </c>
      <c r="H519" s="37" t="n">
        <f aca="false">G519+H499</f>
        <v>245.340806848668</v>
      </c>
      <c r="I519" s="37" t="n">
        <f aca="false">H519+I499</f>
        <v>348.4478126867</v>
      </c>
      <c r="J519" s="37" t="n">
        <f aca="false">I519+J499</f>
        <v>462.017516883012</v>
      </c>
      <c r="K519" s="37" t="n">
        <f aca="false">J519+K499</f>
        <v>586.196670270309</v>
      </c>
      <c r="L519" s="37" t="n">
        <f aca="false">K519+L499</f>
        <v>721.134280573943</v>
      </c>
      <c r="M519" s="37" t="n">
        <f aca="false">L519+M499</f>
        <v>866.981496651251</v>
      </c>
    </row>
    <row r="520" customFormat="false" ht="15" hidden="false" customHeight="false" outlineLevel="0" collapsed="false">
      <c r="A520" s="26" t="s">
        <v>17</v>
      </c>
      <c r="B520" s="36" t="s">
        <v>55</v>
      </c>
      <c r="C520" s="37" t="n">
        <f aca="false">C483</f>
        <v>463.17</v>
      </c>
      <c r="D520" s="37" t="n">
        <f aca="false">D483</f>
        <v>463.17</v>
      </c>
      <c r="E520" s="37" t="n">
        <f aca="false">E483</f>
        <v>463.17</v>
      </c>
      <c r="F520" s="37" t="n">
        <f aca="false">F483</f>
        <v>397.002857142857</v>
      </c>
      <c r="G520" s="37" t="n">
        <f aca="false">G483</f>
        <v>330.835714285714</v>
      </c>
      <c r="H520" s="37" t="n">
        <f aca="false">H483</f>
        <v>264.668571428571</v>
      </c>
      <c r="I520" s="37" t="n">
        <f aca="false">I483</f>
        <v>198.501428571429</v>
      </c>
      <c r="J520" s="37" t="n">
        <f aca="false">J483</f>
        <v>132.334285714286</v>
      </c>
      <c r="K520" s="37" t="n">
        <f aca="false">K483</f>
        <v>66.1671428571429</v>
      </c>
      <c r="L520" s="37" t="n">
        <f aca="false">L483</f>
        <v>0</v>
      </c>
      <c r="M520" s="37" t="n">
        <f aca="false">M483</f>
        <v>0</v>
      </c>
    </row>
    <row r="521" customFormat="false" ht="15" hidden="false" customHeight="false" outlineLevel="0" collapsed="false">
      <c r="A521" s="26" t="s">
        <v>172</v>
      </c>
      <c r="B521" s="36" t="s">
        <v>55</v>
      </c>
      <c r="C521" s="37" t="n">
        <f aca="false">C475</f>
        <v>0</v>
      </c>
      <c r="D521" s="37" t="n">
        <f aca="false">D475</f>
        <v>6.9679997260274</v>
      </c>
      <c r="E521" s="37" t="n">
        <f aca="false">E475</f>
        <v>7.76165198630137</v>
      </c>
      <c r="F521" s="37" t="n">
        <f aca="false">F475</f>
        <v>8.61780635958904</v>
      </c>
      <c r="G521" s="37" t="n">
        <f aca="false">G475</f>
        <v>9.2865123590137</v>
      </c>
      <c r="H521" s="37" t="n">
        <f aca="false">H475</f>
        <v>9.73563952329206</v>
      </c>
      <c r="I521" s="37" t="n">
        <f aca="false">I475</f>
        <v>10.3206367722146</v>
      </c>
      <c r="J521" s="37" t="n">
        <f aca="false">J475</f>
        <v>10.8248540956832</v>
      </c>
      <c r="K521" s="37" t="n">
        <f aca="false">K475</f>
        <v>11.3562481103139</v>
      </c>
      <c r="L521" s="37" t="n">
        <f aca="false">L475</f>
        <v>11.9163027439235</v>
      </c>
      <c r="M521" s="37" t="n">
        <f aca="false">M475</f>
        <v>12.5065839120654</v>
      </c>
    </row>
    <row r="522" customFormat="false" ht="15" hidden="false" customHeight="false" outlineLevel="0" collapsed="false">
      <c r="A522" s="9" t="s">
        <v>215</v>
      </c>
      <c r="B522" s="36" t="s">
        <v>55</v>
      </c>
      <c r="C522" s="38" t="n">
        <f aca="false">SUM(C518:C521)</f>
        <v>771.95</v>
      </c>
      <c r="D522" s="38" t="n">
        <f aca="false">SUM(D518:D521)</f>
        <v>783.115828032028</v>
      </c>
      <c r="E522" s="38" t="n">
        <f aca="false">SUM(E518:E521)</f>
        <v>811.995961097551</v>
      </c>
      <c r="F522" s="38" t="n">
        <f aca="false">SUM(F518:F521)</f>
        <v>800.362905688984</v>
      </c>
      <c r="G522" s="38" t="n">
        <f aca="false">SUM(G518:G521)</f>
        <v>809.554458632691</v>
      </c>
      <c r="H522" s="38" t="n">
        <f aca="false">SUM(H518:H521)</f>
        <v>828.525017800532</v>
      </c>
      <c r="I522" s="38" t="n">
        <f aca="false">SUM(I518:I521)</f>
        <v>866.049878030343</v>
      </c>
      <c r="J522" s="38" t="n">
        <f aca="false">SUM(J518:J521)</f>
        <v>913.956656692981</v>
      </c>
      <c r="K522" s="38" t="n">
        <f aca="false">SUM(K518:K521)</f>
        <v>972.500061237765</v>
      </c>
      <c r="L522" s="38" t="n">
        <f aca="false">SUM(L518:L521)</f>
        <v>1041.83058331787</v>
      </c>
      <c r="M522" s="38" t="n">
        <f aca="false">SUM(M518:M521)</f>
        <v>1188.26808056332</v>
      </c>
    </row>
    <row r="523" customFormat="false" ht="15" hidden="false" customHeight="false" outlineLevel="0" collapsed="false">
      <c r="A523" s="26" t="s">
        <v>216</v>
      </c>
      <c r="B523" s="36" t="s">
        <v>55</v>
      </c>
      <c r="C523" s="37" t="n">
        <f aca="false">ROUND(C517-C522,6)</f>
        <v>0</v>
      </c>
      <c r="D523" s="37" t="n">
        <f aca="false">ROUND(D517-D522,6)</f>
        <v>0</v>
      </c>
      <c r="E523" s="37" t="n">
        <f aca="false">ROUND(E517-E522,6)</f>
        <v>0</v>
      </c>
      <c r="F523" s="37" t="n">
        <f aca="false">ROUND(F517-F522,6)</f>
        <v>0</v>
      </c>
      <c r="G523" s="37" t="n">
        <f aca="false">ROUND(G517-G522,6)</f>
        <v>0</v>
      </c>
      <c r="H523" s="37" t="n">
        <f aca="false">ROUND(H517-H522,6)</f>
        <v>0</v>
      </c>
      <c r="I523" s="37" t="n">
        <f aca="false">ROUND(I517-I522,6)</f>
        <v>0</v>
      </c>
      <c r="J523" s="37" t="n">
        <f aca="false">ROUND(J517-J522,6)</f>
        <v>0</v>
      </c>
      <c r="K523" s="37" t="n">
        <f aca="false">ROUND(K517-K522,6)</f>
        <v>0</v>
      </c>
      <c r="L523" s="37" t="n">
        <f aca="false">ROUND(L517-L522,6)</f>
        <v>0</v>
      </c>
      <c r="M523" s="37" t="n">
        <f aca="false">ROUND(M517-M522,6)</f>
        <v>0</v>
      </c>
    </row>
    <row r="524" customFormat="false" ht="15" hidden="false" customHeight="false" outlineLevel="0" collapsed="false">
      <c r="A524" s="24" t="s">
        <v>292</v>
      </c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</row>
    <row r="525" customFormat="false" ht="15" hidden="false" customHeight="false" outlineLevel="0" collapsed="false">
      <c r="A525" s="26" t="s">
        <v>219</v>
      </c>
      <c r="B525" s="36" t="s">
        <v>55</v>
      </c>
      <c r="D525" s="37" t="n">
        <f aca="false">D497+D470+D481</f>
        <v>95.310678306</v>
      </c>
      <c r="E525" s="37" t="n">
        <f aca="false">E497+E470+E481</f>
        <v>119.19933080525</v>
      </c>
      <c r="F525" s="37" t="n">
        <f aca="false">F497+F470+F481</f>
        <v>144.790783075288</v>
      </c>
      <c r="G525" s="37" t="n">
        <f aca="false">G497+G470+G481</f>
        <v>158.855289801426</v>
      </c>
      <c r="H525" s="37" t="n">
        <f aca="false">H497+H470+H481</f>
        <v>161.906324860705</v>
      </c>
      <c r="I525" s="37" t="n">
        <f aca="false">I497+I470+I481</f>
        <v>168.977205838032</v>
      </c>
      <c r="J525" s="37" t="n">
        <f aca="false">J497+J470+J481</f>
        <v>172.492354196312</v>
      </c>
      <c r="K525" s="37" t="n">
        <f aca="false">K497+K470+K481</f>
        <v>176.154253387297</v>
      </c>
      <c r="L525" s="37" t="n">
        <f aca="false">L497+L470+L481</f>
        <v>179.965160303634</v>
      </c>
      <c r="M525" s="37" t="n">
        <f aca="false">M497+M470+M481</f>
        <v>183.927216077309</v>
      </c>
    </row>
    <row r="526" customFormat="false" ht="15" hidden="false" customHeight="false" outlineLevel="0" collapsed="false">
      <c r="A526" s="26" t="s">
        <v>220</v>
      </c>
      <c r="B526" s="36" t="s">
        <v>55</v>
      </c>
      <c r="D526" s="37" t="n">
        <f aca="false">D481+D482</f>
        <v>48.63285</v>
      </c>
      <c r="E526" s="37" t="n">
        <f aca="false">E481+E482</f>
        <v>48.63285</v>
      </c>
      <c r="F526" s="37" t="n">
        <f aca="false">F481+F482</f>
        <v>114.799992857143</v>
      </c>
      <c r="G526" s="37" t="n">
        <f aca="false">G481+G482</f>
        <v>107.852442857143</v>
      </c>
      <c r="H526" s="37" t="n">
        <f aca="false">H481+H482</f>
        <v>100.904892857143</v>
      </c>
      <c r="I526" s="37" t="n">
        <f aca="false">I481+I482</f>
        <v>93.9573428571429</v>
      </c>
      <c r="J526" s="37" t="n">
        <f aca="false">J481+J482</f>
        <v>87.0097928571429</v>
      </c>
      <c r="K526" s="37" t="n">
        <f aca="false">K481+K482</f>
        <v>80.0622428571429</v>
      </c>
      <c r="L526" s="37" t="n">
        <f aca="false">L481+L482</f>
        <v>73.1146928571429</v>
      </c>
      <c r="M526" s="37" t="n">
        <f aca="false">M481+M482</f>
        <v>0</v>
      </c>
    </row>
    <row r="527" customFormat="false" ht="15" hidden="false" customHeight="false" outlineLevel="0" collapsed="false">
      <c r="A527" s="26" t="s">
        <v>24</v>
      </c>
      <c r="B527" s="36" t="s">
        <v>104</v>
      </c>
      <c r="D527" s="39" t="n">
        <f aca="false">IF(D526&gt;0,D525/D526,"")</f>
        <v>1.95980038813271</v>
      </c>
      <c r="E527" s="39" t="n">
        <f aca="false">IF(E526&gt;0,E525/E526,"")</f>
        <v>2.45100443024108</v>
      </c>
      <c r="F527" s="39" t="n">
        <f aca="false">IF(F526&gt;0,F525/F526,"")</f>
        <v>1.26124383348582</v>
      </c>
      <c r="G527" s="39" t="n">
        <f aca="false">IF(G526&gt;0,G525/G526,"")</f>
        <v>1.47289468456305</v>
      </c>
      <c r="H527" s="39" t="n">
        <f aca="false">IF(H526&gt;0,H525/H526,"")</f>
        <v>1.60454384595528</v>
      </c>
      <c r="I527" s="39" t="n">
        <f aca="false">IF(I526&gt;0,I525/I526,"")</f>
        <v>1.79844598303458</v>
      </c>
      <c r="J527" s="39" t="n">
        <f aca="false">IF(J526&gt;0,J525/J526,"")</f>
        <v>1.98244759046282</v>
      </c>
      <c r="K527" s="39" t="n">
        <f aca="false">IF(K526&gt;0,K525/K526,"")</f>
        <v>2.20021632046473</v>
      </c>
      <c r="L527" s="39" t="n">
        <f aca="false">IF(L526&gt;0,L525/L526,"")</f>
        <v>2.46140896270007</v>
      </c>
      <c r="M527" s="39" t="str">
        <f aca="false">IF(M526&gt;0,M525/M526,"")</f>
        <v/>
      </c>
    </row>
    <row r="528" customFormat="false" ht="15" hidden="false" customHeight="false" outlineLevel="0" collapsed="false">
      <c r="A528" s="9" t="s">
        <v>221</v>
      </c>
      <c r="B528" s="36" t="s">
        <v>104</v>
      </c>
      <c r="C528" s="44" t="n">
        <f aca="false">MIN(D527:M527)</f>
        <v>1.26124383348582</v>
      </c>
    </row>
    <row r="529" customFormat="false" ht="15" hidden="false" customHeight="false" outlineLevel="0" collapsed="false">
      <c r="A529" s="9" t="s">
        <v>222</v>
      </c>
      <c r="B529" s="36" t="s">
        <v>104</v>
      </c>
      <c r="C529" s="44" t="n">
        <f aca="false">AVERAGE(D527:M527)</f>
        <v>1.91022289322668</v>
      </c>
    </row>
    <row r="531" customFormat="false" ht="15" hidden="false" customHeight="false" outlineLevel="0" collapsed="false">
      <c r="A531" s="24" t="s">
        <v>223</v>
      </c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</row>
    <row r="532" customFormat="false" ht="15" hidden="false" customHeight="false" outlineLevel="0" collapsed="false">
      <c r="A532" s="26" t="s">
        <v>224</v>
      </c>
      <c r="B532" s="36" t="s">
        <v>55</v>
      </c>
      <c r="D532" s="37" t="n">
        <f aca="false">MAX(0,D490)*Inputs!$C$44</f>
        <v>13.652880039</v>
      </c>
      <c r="E532" s="37" t="n">
        <f aca="false">MAX(0,E490)*Inputs!$C$44</f>
        <v>21.68812503975</v>
      </c>
      <c r="F532" s="37" t="n">
        <f aca="false">MAX(0,F490)*Inputs!$C$44</f>
        <v>30.2961278947125</v>
      </c>
      <c r="G532" s="37" t="n">
        <f aca="false">MAX(0,G490)*Inputs!$C$44</f>
        <v>35.6150958405744</v>
      </c>
      <c r="H532" s="37" t="n">
        <f aca="false">MAX(0,H490)*Inputs!$C$44</f>
        <v>37.2295457875746</v>
      </c>
      <c r="I532" s="37" t="n">
        <f aca="false">MAX(0,I490)*Inputs!$C$44</f>
        <v>41.6761154961306</v>
      </c>
      <c r="J532" s="37" t="n">
        <f aca="false">MAX(0,J490)*Inputs!$C$44</f>
        <v>43.4466757162276</v>
      </c>
      <c r="K532" s="37" t="n">
        <f aca="false">MAX(0,K490)*Inputs!$C$44</f>
        <v>45.2665974017688</v>
      </c>
      <c r="L532" s="37" t="n">
        <f aca="false">MAX(0,L490)*Inputs!$C$44</f>
        <v>47.1366396866299</v>
      </c>
      <c r="M532" s="37" t="n">
        <f aca="false">MAX(0,M490)*Inputs!$C$44</f>
        <v>49.0575227671503</v>
      </c>
    </row>
    <row r="533" customFormat="false" ht="15" hidden="false" customHeight="false" outlineLevel="0" collapsed="false">
      <c r="A533" s="26" t="s">
        <v>225</v>
      </c>
      <c r="B533" s="36" t="s">
        <v>55</v>
      </c>
      <c r="D533" s="37" t="n">
        <f aca="false">D476-C476</f>
        <v>15.4087126027397</v>
      </c>
      <c r="E533" s="37" t="n">
        <f aca="false">E476-D476</f>
        <v>4.33264910958904</v>
      </c>
      <c r="F533" s="37" t="n">
        <f aca="false">F476-E476</f>
        <v>4.64444836643836</v>
      </c>
      <c r="G533" s="37" t="n">
        <f aca="false">G476-F476</f>
        <v>2.93968939783561</v>
      </c>
      <c r="H533" s="37" t="n">
        <f aca="false">H476-G476</f>
        <v>1.0153533091463</v>
      </c>
      <c r="I533" s="37" t="n">
        <f aca="false">I476-H476</f>
        <v>1.92805124347417</v>
      </c>
      <c r="J533" s="37" t="n">
        <f aca="false">J476-I476</f>
        <v>1.11936430858897</v>
      </c>
      <c r="K533" s="37" t="n">
        <f aca="false">K476-J476</f>
        <v>1.15713088270904</v>
      </c>
      <c r="L533" s="37" t="n">
        <f aca="false">L476-K476</f>
        <v>1.19601125962379</v>
      </c>
      <c r="M533" s="37" t="n">
        <f aca="false">M476-L476</f>
        <v>1.23602736082093</v>
      </c>
    </row>
    <row r="534" customFormat="false" ht="15" hidden="false" customHeight="false" outlineLevel="0" collapsed="false">
      <c r="A534" s="26" t="s">
        <v>226</v>
      </c>
      <c r="B534" s="36" t="s">
        <v>55</v>
      </c>
      <c r="D534" s="37" t="n">
        <f aca="false">0</f>
        <v>0</v>
      </c>
      <c r="E534" s="37" t="n">
        <f aca="false">0</f>
        <v>0</v>
      </c>
      <c r="F534" s="37" t="n">
        <f aca="false">0</f>
        <v>0</v>
      </c>
      <c r="G534" s="37" t="n">
        <f aca="false">0</f>
        <v>0</v>
      </c>
      <c r="H534" s="37" t="n">
        <f aca="false">0</f>
        <v>0</v>
      </c>
      <c r="I534" s="37" t="n">
        <f aca="false">0</f>
        <v>0</v>
      </c>
      <c r="J534" s="37" t="n">
        <f aca="false">0</f>
        <v>0</v>
      </c>
      <c r="K534" s="37" t="n">
        <f aca="false">0</f>
        <v>0</v>
      </c>
      <c r="L534" s="37" t="n">
        <f aca="false">0</f>
        <v>0</v>
      </c>
      <c r="M534" s="37" t="n">
        <f aca="false">M471*Inputs!$C$52+M476</f>
        <v>210.552437840966</v>
      </c>
    </row>
    <row r="535" customFormat="false" ht="15" hidden="false" customHeight="false" outlineLevel="0" collapsed="false">
      <c r="A535" s="9" t="s">
        <v>227</v>
      </c>
      <c r="B535" s="36" t="s">
        <v>55</v>
      </c>
      <c r="C535" s="38" t="n">
        <f aca="false">-C431</f>
        <v>-753.95</v>
      </c>
      <c r="D535" s="38" t="n">
        <f aca="false">D464-D532-D533+D534</f>
        <v>67.6610773582603</v>
      </c>
      <c r="E535" s="38" t="n">
        <f aca="false">E464-E532-E533+E534</f>
        <v>102.625793350661</v>
      </c>
      <c r="F535" s="38" t="n">
        <f aca="false">F464-F532-F533+F534</f>
        <v>127.905446363849</v>
      </c>
      <c r="G535" s="38" t="n">
        <f aca="false">G464-G532-G533+G534</f>
        <v>145.42341039359</v>
      </c>
      <c r="H535" s="38" t="n">
        <f aca="false">H464-H532-H533+H534</f>
        <v>152.147479876559</v>
      </c>
      <c r="I535" s="38" t="n">
        <f aca="false">I464-I532-I533+I534</f>
        <v>160.054361254557</v>
      </c>
      <c r="J535" s="38" t="n">
        <f aca="false">J464-J532-J533+J534</f>
        <v>166.126894882723</v>
      </c>
      <c r="K535" s="38" t="n">
        <f aca="false">K464-K532-K533+K534</f>
        <v>171.499725834588</v>
      </c>
      <c r="L535" s="38" t="n">
        <f aca="false">L464-L532-L533+L534</f>
        <v>177.02045070901</v>
      </c>
      <c r="M535" s="38" t="n">
        <f aca="false">M464-M532-M533+M534</f>
        <v>393.243626557453</v>
      </c>
    </row>
    <row r="536" customFormat="false" ht="15" hidden="false" customHeight="false" outlineLevel="0" collapsed="false">
      <c r="A536" s="26" t="s">
        <v>228</v>
      </c>
      <c r="B536" s="36" t="s">
        <v>55</v>
      </c>
      <c r="C536" s="37" t="n">
        <f aca="false">C535</f>
        <v>-753.95</v>
      </c>
      <c r="D536" s="37" t="n">
        <f aca="false">C536+D535</f>
        <v>-686.28892264174</v>
      </c>
      <c r="E536" s="37" t="n">
        <f aca="false">D536+E535</f>
        <v>-583.663129291079</v>
      </c>
      <c r="F536" s="37" t="n">
        <f aca="false">E536+F535</f>
        <v>-455.75768292723</v>
      </c>
      <c r="G536" s="37" t="n">
        <f aca="false">F536+G535</f>
        <v>-310.33427253364</v>
      </c>
      <c r="H536" s="37" t="n">
        <f aca="false">G536+H535</f>
        <v>-158.186792657081</v>
      </c>
      <c r="I536" s="37" t="n">
        <f aca="false">H536+I535</f>
        <v>1.86756859747686</v>
      </c>
      <c r="J536" s="37" t="n">
        <f aca="false">I536+J535</f>
        <v>167.9944634802</v>
      </c>
      <c r="K536" s="37" t="n">
        <f aca="false">J536+K535</f>
        <v>339.494189314787</v>
      </c>
      <c r="L536" s="37" t="n">
        <f aca="false">K536+L535</f>
        <v>516.514640023798</v>
      </c>
      <c r="M536" s="37" t="n">
        <f aca="false">L536+M535</f>
        <v>909.758266581251</v>
      </c>
    </row>
    <row r="537" customFormat="false" ht="15" hidden="false" customHeight="false" outlineLevel="0" collapsed="false">
      <c r="A537" s="26" t="s">
        <v>229</v>
      </c>
      <c r="B537" s="36" t="s">
        <v>55</v>
      </c>
      <c r="C537" s="37" t="n">
        <f aca="false">C535/(1+Inputs!$C$50)^Inputs!C$6</f>
        <v>-753.95</v>
      </c>
      <c r="D537" s="37" t="n">
        <f aca="false">D535/(1+Inputs!$C$50)^Inputs!D$6</f>
        <v>60.9559255479822</v>
      </c>
      <c r="E537" s="37" t="n">
        <f aca="false">E535/(1+Inputs!$C$50)^Inputs!E$6</f>
        <v>83.293396112865</v>
      </c>
      <c r="F537" s="37" t="n">
        <f aca="false">F535/(1+Inputs!$C$50)^Inputs!F$6</f>
        <v>93.5233600026975</v>
      </c>
      <c r="G537" s="37" t="n">
        <f aca="false">G535/(1+Inputs!$C$50)^Inputs!G$6</f>
        <v>95.7949047920577</v>
      </c>
      <c r="H537" s="37" t="n">
        <f aca="false">H535/(1+Inputs!$C$50)^Inputs!H$6</f>
        <v>90.2921239935068</v>
      </c>
      <c r="I537" s="37" t="n">
        <f aca="false">I535/(1+Inputs!$C$50)^Inputs!I$6</f>
        <v>85.5715975207941</v>
      </c>
      <c r="J537" s="37" t="n">
        <f aca="false">J535/(1+Inputs!$C$50)^Inputs!J$6</f>
        <v>80.0164161954357</v>
      </c>
      <c r="K537" s="37" t="n">
        <f aca="false">K535/(1+Inputs!$C$50)^Inputs!K$6</f>
        <v>74.4182751474738</v>
      </c>
      <c r="L537" s="37" t="n">
        <f aca="false">L535/(1+Inputs!$C$50)^Inputs!L$6</f>
        <v>69.2016792335651</v>
      </c>
      <c r="M537" s="37" t="n">
        <f aca="false">M535/(1+Inputs!$C$50)^Inputs!M$6</f>
        <v>138.494301650518</v>
      </c>
    </row>
    <row r="538" customFormat="false" ht="15" hidden="false" customHeight="false" outlineLevel="0" collapsed="false">
      <c r="A538" s="26" t="s">
        <v>230</v>
      </c>
      <c r="B538" s="36" t="s">
        <v>55</v>
      </c>
      <c r="C538" s="37" t="n">
        <f aca="false">C537</f>
        <v>-753.95</v>
      </c>
      <c r="D538" s="37" t="n">
        <f aca="false">C538+D537</f>
        <v>-692.994074452018</v>
      </c>
      <c r="E538" s="37" t="n">
        <f aca="false">D538+E537</f>
        <v>-609.700678339153</v>
      </c>
      <c r="F538" s="37" t="n">
        <f aca="false">E538+F537</f>
        <v>-516.177318336455</v>
      </c>
      <c r="G538" s="37" t="n">
        <f aca="false">F538+G537</f>
        <v>-420.382413544398</v>
      </c>
      <c r="H538" s="37" t="n">
        <f aca="false">G538+H537</f>
        <v>-330.090289550891</v>
      </c>
      <c r="I538" s="37" t="n">
        <f aca="false">H538+I537</f>
        <v>-244.518692030097</v>
      </c>
      <c r="J538" s="37" t="n">
        <f aca="false">I538+J537</f>
        <v>-164.502275834661</v>
      </c>
      <c r="K538" s="37" t="n">
        <f aca="false">J538+K537</f>
        <v>-90.0840006871873</v>
      </c>
      <c r="L538" s="37" t="n">
        <f aca="false">K538+L537</f>
        <v>-20.8823214536221</v>
      </c>
      <c r="M538" s="37" t="n">
        <f aca="false">L538+M537</f>
        <v>117.611980196896</v>
      </c>
    </row>
    <row r="539" customFormat="false" ht="15" hidden="false" customHeight="false" outlineLevel="0" collapsed="false">
      <c r="A539" s="26" t="s">
        <v>231</v>
      </c>
      <c r="B539" s="36" t="s">
        <v>69</v>
      </c>
      <c r="D539" s="45" t="str">
        <f aca="false">IF(AND(C536&lt;0,D536&gt;=0),Inputs!D$6-1+(-C536)/D535,"")</f>
        <v/>
      </c>
      <c r="E539" s="45" t="str">
        <f aca="false">IF(AND(D536&lt;0,E536&gt;=0),Inputs!E$6-1+(-D536)/E535,"")</f>
        <v/>
      </c>
      <c r="F539" s="45" t="str">
        <f aca="false">IF(AND(E536&lt;0,F536&gt;=0),Inputs!F$6-1+(-E536)/F535,"")</f>
        <v/>
      </c>
      <c r="G539" s="45" t="str">
        <f aca="false">IF(AND(F536&lt;0,G536&gt;=0),Inputs!G$6-1+(-F536)/G535,"")</f>
        <v/>
      </c>
      <c r="H539" s="45" t="str">
        <f aca="false">IF(AND(G536&lt;0,H536&gt;=0),Inputs!H$6-1+(-G536)/H535,"")</f>
        <v/>
      </c>
      <c r="I539" s="45" t="n">
        <f aca="false">IF(AND(H536&lt;0,I536&gt;=0),Inputs!I$6-1+(-H536)/I535,"")</f>
        <v>5.98833166067555</v>
      </c>
      <c r="J539" s="45" t="str">
        <f aca="false">IF(AND(I536&lt;0,J536&gt;=0),Inputs!J$6-1+(-I536)/J535,"")</f>
        <v/>
      </c>
      <c r="K539" s="45" t="str">
        <f aca="false">IF(AND(J536&lt;0,K536&gt;=0),Inputs!K$6-1+(-J536)/K535,"")</f>
        <v/>
      </c>
      <c r="L539" s="45" t="str">
        <f aca="false">IF(AND(K536&lt;0,L536&gt;=0),Inputs!L$6-1+(-K536)/L535,"")</f>
        <v/>
      </c>
      <c r="M539" s="45" t="str">
        <f aca="false">IF(AND(L536&lt;0,M536&gt;=0),Inputs!M$6-1+(-L536)/M535,"")</f>
        <v/>
      </c>
    </row>
    <row r="540" customFormat="false" ht="15" hidden="false" customHeight="false" outlineLevel="0" collapsed="false">
      <c r="A540" s="26" t="s">
        <v>232</v>
      </c>
      <c r="B540" s="36" t="s">
        <v>69</v>
      </c>
      <c r="D540" s="45" t="str">
        <f aca="false">IF(AND(C538&lt;0,D538&gt;=0),Inputs!D$6-1+(-C538)/D537,"")</f>
        <v/>
      </c>
      <c r="E540" s="45" t="str">
        <f aca="false">IF(AND(D538&lt;0,E538&gt;=0),Inputs!E$6-1+(-D538)/E537,"")</f>
        <v/>
      </c>
      <c r="F540" s="45" t="str">
        <f aca="false">IF(AND(E538&lt;0,F538&gt;=0),Inputs!F$6-1+(-E538)/F537,"")</f>
        <v/>
      </c>
      <c r="G540" s="45" t="str">
        <f aca="false">IF(AND(F538&lt;0,G538&gt;=0),Inputs!G$6-1+(-F538)/G537,"")</f>
        <v/>
      </c>
      <c r="H540" s="45" t="str">
        <f aca="false">IF(AND(G538&lt;0,H538&gt;=0),Inputs!H$6-1+(-G538)/H537,"")</f>
        <v/>
      </c>
      <c r="I540" s="45" t="str">
        <f aca="false">IF(AND(H538&lt;0,I538&gt;=0),Inputs!I$6-1+(-H538)/I537,"")</f>
        <v/>
      </c>
      <c r="J540" s="45" t="str">
        <f aca="false">IF(AND(I538&lt;0,J538&gt;=0),Inputs!J$6-1+(-I538)/J537,"")</f>
        <v/>
      </c>
      <c r="K540" s="45" t="str">
        <f aca="false">IF(AND(J538&lt;0,K538&gt;=0),Inputs!K$6-1+(-J538)/K537,"")</f>
        <v/>
      </c>
      <c r="L540" s="45" t="str">
        <f aca="false">IF(AND(K538&lt;0,L538&gt;=0),Inputs!L$6-1+(-K538)/L537,"")</f>
        <v/>
      </c>
      <c r="M540" s="45" t="n">
        <f aca="false">IF(AND(L538&lt;0,M538&gt;=0),Inputs!M$6-1+(-L538)/M537,"")</f>
        <v>9.15078108777585</v>
      </c>
    </row>
    <row r="541" customFormat="false" ht="15" hidden="false" customHeight="false" outlineLevel="0" collapsed="false">
      <c r="A541" s="9" t="s">
        <v>233</v>
      </c>
      <c r="B541" s="36" t="s">
        <v>55</v>
      </c>
      <c r="C541" s="43" t="n">
        <f aca="false">NPV(Inputs!$C$50,D535:M535)+C535</f>
        <v>117.611980196896</v>
      </c>
    </row>
    <row r="542" customFormat="false" ht="15" hidden="false" customHeight="false" outlineLevel="0" collapsed="false">
      <c r="A542" s="9" t="s">
        <v>23</v>
      </c>
      <c r="B542" s="36" t="s">
        <v>62</v>
      </c>
      <c r="C542" s="46" t="n">
        <f aca="false">IRR(C535:M535)</f>
        <v>0.13884122434004</v>
      </c>
    </row>
    <row r="543" customFormat="false" ht="15" hidden="false" customHeight="false" outlineLevel="0" collapsed="false">
      <c r="A543" s="9" t="s">
        <v>234</v>
      </c>
      <c r="B543" s="36" t="s">
        <v>104</v>
      </c>
      <c r="C543" s="44" t="n">
        <f aca="false">SUMIF(C537:M537,"&gt;0")/-SUMIF(C537:M537,"&lt;0")</f>
        <v>1.15599440307301</v>
      </c>
    </row>
    <row r="544" customFormat="false" ht="15" hidden="false" customHeight="false" outlineLevel="0" collapsed="false">
      <c r="A544" s="9" t="s">
        <v>235</v>
      </c>
      <c r="B544" s="36" t="s">
        <v>69</v>
      </c>
      <c r="C544" s="47" t="n">
        <f aca="false">IF(COUNT(D539:M539)=0,"Beyond Year 10",MIN(D539:M539))</f>
        <v>5.98833166067555</v>
      </c>
    </row>
    <row r="545" customFormat="false" ht="15" hidden="false" customHeight="false" outlineLevel="0" collapsed="false">
      <c r="A545" s="9" t="s">
        <v>35</v>
      </c>
      <c r="B545" s="36" t="s">
        <v>69</v>
      </c>
      <c r="C545" s="47" t="n">
        <f aca="false">IF(COUNT(D540:M540)=0,"Beyond Year 10",MIN(D540:M540))</f>
        <v>9.15078108777585</v>
      </c>
    </row>
    <row r="547" customFormat="false" ht="15" hidden="false" customHeight="false" outlineLevel="0" collapsed="false">
      <c r="A547" s="24" t="s">
        <v>236</v>
      </c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</row>
    <row r="548" customFormat="false" ht="15" hidden="false" customHeight="false" outlineLevel="0" collapsed="false">
      <c r="A548" s="9" t="s">
        <v>237</v>
      </c>
      <c r="B548" s="36" t="s">
        <v>55</v>
      </c>
      <c r="C548" s="43" t="n">
        <f aca="false">-C437</f>
        <v>-308.78</v>
      </c>
      <c r="D548" s="43" t="n">
        <f aca="false">D503-D482</f>
        <v>31.2691157032603</v>
      </c>
      <c r="E548" s="43" t="n">
        <f aca="false">E503-E482</f>
        <v>66.233831695661</v>
      </c>
      <c r="F548" s="43" t="n">
        <f aca="false">F503-F482</f>
        <v>25.3463418517063</v>
      </c>
      <c r="G548" s="43" t="n">
        <f aca="false">G503-G482</f>
        <v>48.0631575464471</v>
      </c>
      <c r="H548" s="43" t="n">
        <f aca="false">H503-H482</f>
        <v>59.9860786944162</v>
      </c>
      <c r="I548" s="43" t="n">
        <f aca="false">I503-I482</f>
        <v>73.0918117374146</v>
      </c>
      <c r="J548" s="43" t="n">
        <f aca="false">J503-J482</f>
        <v>84.3631970305798</v>
      </c>
      <c r="K548" s="43" t="n">
        <f aca="false">K503-K482</f>
        <v>94.9348796474449</v>
      </c>
      <c r="L548" s="43" t="n">
        <f aca="false">L503-L482</f>
        <v>105.654456186867</v>
      </c>
      <c r="M548" s="43" t="n">
        <f aca="false">M503-M482+C432+M471*Inputs!$C$52+M476</f>
        <v>411.243626557454</v>
      </c>
    </row>
    <row r="549" customFormat="false" ht="15" hidden="false" customHeight="false" outlineLevel="0" collapsed="false">
      <c r="A549" s="9" t="s">
        <v>238</v>
      </c>
      <c r="B549" s="36" t="s">
        <v>55</v>
      </c>
      <c r="C549" s="43" t="n">
        <f aca="false">NPV(Inputs!$C$51,D548:M548)+C548</f>
        <v>90.0486446308545</v>
      </c>
    </row>
    <row r="550" customFormat="false" ht="15" hidden="false" customHeight="false" outlineLevel="0" collapsed="false">
      <c r="A550" s="9" t="s">
        <v>27</v>
      </c>
      <c r="B550" s="36" t="s">
        <v>62</v>
      </c>
      <c r="C550" s="46" t="n">
        <f aca="false">IRR(C548:M548)</f>
        <v>0.188070099541721</v>
      </c>
    </row>
    <row r="552" customFormat="false" ht="15" hidden="false" customHeight="false" outlineLevel="0" collapsed="false">
      <c r="A552" s="24" t="s">
        <v>239</v>
      </c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</row>
    <row r="553" customFormat="false" ht="15" hidden="false" customHeight="false" outlineLevel="0" collapsed="false">
      <c r="A553" s="26" t="s">
        <v>240</v>
      </c>
      <c r="B553" s="36" t="s">
        <v>55</v>
      </c>
      <c r="D553" s="37" t="n">
        <f aca="false">D451-D462</f>
        <v>151.94575</v>
      </c>
      <c r="E553" s="37" t="n">
        <f aca="false">E451-E462</f>
        <v>186.4766475</v>
      </c>
      <c r="F553" s="37" t="n">
        <f aca="false">F451-F462</f>
        <v>223.434572625</v>
      </c>
      <c r="G553" s="37" t="n">
        <f aca="false">G451-G462</f>
        <v>247.485526332</v>
      </c>
      <c r="H553" s="37" t="n">
        <f aca="false">H451-H462</f>
        <v>256.98815984028</v>
      </c>
      <c r="I553" s="37" t="n">
        <f aca="false">I451-I462</f>
        <v>273.522335794432</v>
      </c>
      <c r="J553" s="37" t="n">
        <f aca="false">J451-J462</f>
        <v>284.014834501138</v>
      </c>
      <c r="K553" s="37" t="n">
        <f aca="false">K451-K462</f>
        <v>294.904613419858</v>
      </c>
      <c r="L553" s="37" t="n">
        <f aca="false">L451-L462</f>
        <v>306.206442772261</v>
      </c>
      <c r="M553" s="37" t="n">
        <f aca="false">M451-M462</f>
        <v>317.935627539541</v>
      </c>
    </row>
    <row r="554" customFormat="false" ht="15" hidden="false" customHeight="false" outlineLevel="0" collapsed="false">
      <c r="A554" s="26" t="s">
        <v>241</v>
      </c>
      <c r="B554" s="36" t="s">
        <v>62</v>
      </c>
      <c r="D554" s="40" t="n">
        <f aca="false">D446*(D463+D470+D481)/D553</f>
        <v>0.529694061860894</v>
      </c>
      <c r="E554" s="40" t="n">
        <f aca="false">E446*(E463+E470+E481)/E553</f>
        <v>0.519169053057971</v>
      </c>
      <c r="F554" s="40" t="n">
        <f aca="false">F446*(F463+F470+F481)/F553</f>
        <v>0.509214167992504</v>
      </c>
      <c r="G554" s="40" t="n">
        <f aca="false">G446*(G463+G470+G481)/G553</f>
        <v>0.477353590373276</v>
      </c>
      <c r="H554" s="40" t="n">
        <f aca="false">H446*(H463+H470+H481)/H553</f>
        <v>0.447689203911592</v>
      </c>
      <c r="I554" s="40" t="n">
        <f aca="false">I446*(I463+I470+I481)/I553</f>
        <v>0.406920648995449</v>
      </c>
      <c r="J554" s="40" t="n">
        <f aca="false">J446*(J463+J470+J481)/J553</f>
        <v>0.381812910784125</v>
      </c>
      <c r="K554" s="40" t="n">
        <f aca="false">K446*(K463+K470+K481)/K553</f>
        <v>0.358570628653073</v>
      </c>
      <c r="L554" s="40" t="n">
        <f aca="false">L446*(L463+L470+L481)/L553</f>
        <v>0.337100453476443</v>
      </c>
      <c r="M554" s="40" t="n">
        <f aca="false">M446*(M463+M470+M481)/M553</f>
        <v>0.317313694947322</v>
      </c>
    </row>
    <row r="555" customFormat="false" ht="15" hidden="false" customHeight="false" outlineLevel="0" collapsed="false">
      <c r="A555" s="26" t="s">
        <v>242</v>
      </c>
      <c r="B555" s="36" t="s">
        <v>62</v>
      </c>
      <c r="D555" s="40" t="n">
        <f aca="false">D446*(D463+D481+D482)/D553</f>
        <v>0.375928655457622</v>
      </c>
      <c r="E555" s="40" t="n">
        <f aca="false">E446*(E463+E481+E482)/E553</f>
        <v>0.371096892976908</v>
      </c>
      <c r="F555" s="40" t="n">
        <f aca="false">F446*(F463+F481+F482)/F553</f>
        <v>0.588724500409473</v>
      </c>
      <c r="G555" s="40" t="n">
        <f aca="false">G446*(G463+G481+G482)/G553</f>
        <v>0.553922570250884</v>
      </c>
      <c r="H555" s="40" t="n">
        <f aca="false">H446*(H463+H481+H482)/H553</f>
        <v>0.521426897887423</v>
      </c>
      <c r="I555" s="40" t="n">
        <f aca="false">I446*(I463+I481+I482)/I553</f>
        <v>0.491123853373488</v>
      </c>
      <c r="J555" s="40" t="n">
        <f aca="false">J446*(J463+J481+J482)/J553</f>
        <v>0.462905355068984</v>
      </c>
      <c r="K555" s="40" t="n">
        <f aca="false">K446*(K463+K481+K482)/K553</f>
        <v>0.436668617273099</v>
      </c>
      <c r="L555" s="40" t="n">
        <f aca="false">L446*(L463+L481+L482)/L553</f>
        <v>0.412315909213887</v>
      </c>
      <c r="M555" s="40" t="n">
        <f aca="false">M446*(M463+M481+M482)/M553</f>
        <v>0.219100102964409</v>
      </c>
    </row>
    <row r="556" customFormat="false" ht="15" hidden="false" customHeight="false" outlineLevel="0" collapsed="false">
      <c r="A556" s="9" t="s">
        <v>243</v>
      </c>
      <c r="B556" s="36" t="s">
        <v>62</v>
      </c>
      <c r="C556" s="46" t="n">
        <f aca="false">INDEX(D554:M554,Inputs!$C$54)</f>
        <v>0.477353590373276</v>
      </c>
    </row>
    <row r="557" customFormat="false" ht="15" hidden="false" customHeight="false" outlineLevel="0" collapsed="false">
      <c r="A557" s="9" t="s">
        <v>244</v>
      </c>
      <c r="B557" s="36" t="s">
        <v>62</v>
      </c>
      <c r="C557" s="46" t="n">
        <f aca="false">INDEX(D555:M555,Inputs!$C$54)</f>
        <v>0.553922570250884</v>
      </c>
    </row>
    <row r="560" customFormat="false" ht="15" hidden="false" customHeight="false" outlineLevel="0" collapsed="false">
      <c r="A560" s="24" t="s">
        <v>293</v>
      </c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</row>
    <row r="561" customFormat="false" ht="15" hidden="false" customHeight="false" outlineLevel="0" collapsed="false">
      <c r="A561" s="26" t="s">
        <v>54</v>
      </c>
      <c r="B561" s="36" t="s">
        <v>55</v>
      </c>
      <c r="C561" s="37" t="n">
        <f aca="false">Inputs!$C$10*(1+Inputs!$F$64)</f>
        <v>44</v>
      </c>
    </row>
    <row r="562" customFormat="false" ht="15" hidden="false" customHeight="false" outlineLevel="0" collapsed="false">
      <c r="A562" s="26" t="s">
        <v>56</v>
      </c>
      <c r="B562" s="36" t="s">
        <v>55</v>
      </c>
      <c r="C562" s="37" t="n">
        <f aca="false">Inputs!$C$11*(1+Inputs!$F$64)</f>
        <v>253</v>
      </c>
    </row>
    <row r="563" customFormat="false" ht="15" hidden="false" customHeight="false" outlineLevel="0" collapsed="false">
      <c r="A563" s="26" t="s">
        <v>57</v>
      </c>
      <c r="B563" s="36" t="s">
        <v>55</v>
      </c>
      <c r="C563" s="37" t="n">
        <f aca="false">Inputs!$C$12*(1+Inputs!$F$64)</f>
        <v>275</v>
      </c>
    </row>
    <row r="564" customFormat="false" ht="15" hidden="false" customHeight="false" outlineLevel="0" collapsed="false">
      <c r="A564" s="26" t="s">
        <v>58</v>
      </c>
      <c r="B564" s="36" t="s">
        <v>55</v>
      </c>
      <c r="C564" s="37" t="n">
        <f aca="false">Inputs!$C$13*(1+Inputs!$F$64)</f>
        <v>104.5</v>
      </c>
    </row>
    <row r="565" customFormat="false" ht="15" hidden="false" customHeight="false" outlineLevel="0" collapsed="false">
      <c r="A565" s="26" t="s">
        <v>59</v>
      </c>
      <c r="B565" s="36" t="s">
        <v>55</v>
      </c>
      <c r="C565" s="37" t="n">
        <f aca="false">Inputs!$C$14*(1+Inputs!$F$64)</f>
        <v>52.8</v>
      </c>
    </row>
    <row r="566" customFormat="false" ht="15" hidden="false" customHeight="false" outlineLevel="0" collapsed="false">
      <c r="A566" s="26" t="s">
        <v>60</v>
      </c>
      <c r="B566" s="36" t="s">
        <v>55</v>
      </c>
      <c r="C566" s="37" t="n">
        <f aca="false">Inputs!$C$15*(1+Inputs!$F$64)</f>
        <v>39.6</v>
      </c>
    </row>
    <row r="567" customFormat="false" ht="15" hidden="false" customHeight="false" outlineLevel="0" collapsed="false">
      <c r="A567" s="9" t="s">
        <v>137</v>
      </c>
      <c r="B567" s="36" t="s">
        <v>55</v>
      </c>
      <c r="C567" s="38" t="n">
        <f aca="false">SUM(C562:C566)</f>
        <v>724.9</v>
      </c>
    </row>
    <row r="568" customFormat="false" ht="15" hidden="false" customHeight="false" outlineLevel="0" collapsed="false">
      <c r="A568" s="26" t="s">
        <v>138</v>
      </c>
      <c r="B568" s="36" t="s">
        <v>55</v>
      </c>
      <c r="C568" s="37" t="n">
        <f aca="false">C567*Inputs!$C$16</f>
        <v>36.245</v>
      </c>
    </row>
    <row r="569" customFormat="false" ht="15" hidden="false" customHeight="false" outlineLevel="0" collapsed="false">
      <c r="A569" s="26" t="s">
        <v>63</v>
      </c>
      <c r="B569" s="36" t="s">
        <v>55</v>
      </c>
      <c r="C569" s="37" t="n">
        <f aca="false">Inputs!$C$17*(1+Inputs!$F$64)</f>
        <v>24.2</v>
      </c>
    </row>
    <row r="570" customFormat="false" ht="15" hidden="false" customHeight="false" outlineLevel="0" collapsed="false">
      <c r="A570" s="9" t="s">
        <v>139</v>
      </c>
      <c r="B570" s="36" t="s">
        <v>55</v>
      </c>
      <c r="C570" s="38" t="n">
        <f aca="false">C561+C567+C568+C569</f>
        <v>829.345</v>
      </c>
    </row>
    <row r="571" customFormat="false" ht="15" hidden="false" customHeight="false" outlineLevel="0" collapsed="false">
      <c r="A571" s="26" t="s">
        <v>64</v>
      </c>
      <c r="B571" s="36" t="s">
        <v>55</v>
      </c>
      <c r="C571" s="37" t="n">
        <f aca="false">Inputs!$C$18</f>
        <v>18</v>
      </c>
    </row>
    <row r="572" customFormat="false" ht="15" hidden="false" customHeight="false" outlineLevel="0" collapsed="false">
      <c r="A572" s="9" t="s">
        <v>15</v>
      </c>
      <c r="B572" s="36" t="s">
        <v>55</v>
      </c>
      <c r="C572" s="38" t="n">
        <f aca="false">C570+C571</f>
        <v>847.345</v>
      </c>
    </row>
    <row r="574" customFormat="false" ht="15" hidden="false" customHeight="false" outlineLevel="0" collapsed="false">
      <c r="A574" s="24" t="s">
        <v>65</v>
      </c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</row>
    <row r="575" customFormat="false" ht="15" hidden="false" customHeight="false" outlineLevel="0" collapsed="false">
      <c r="A575" s="26" t="s">
        <v>17</v>
      </c>
      <c r="B575" s="36" t="s">
        <v>55</v>
      </c>
      <c r="C575" s="37" t="n">
        <f aca="false">C572*Inputs!$C$20</f>
        <v>508.407</v>
      </c>
    </row>
    <row r="576" customFormat="false" ht="15" hidden="false" customHeight="false" outlineLevel="0" collapsed="false">
      <c r="A576" s="26" t="s">
        <v>19</v>
      </c>
      <c r="B576" s="36" t="s">
        <v>55</v>
      </c>
      <c r="C576" s="37" t="n">
        <f aca="false">C572-C575</f>
        <v>338.938</v>
      </c>
    </row>
    <row r="577" customFormat="false" ht="15" hidden="false" customHeight="false" outlineLevel="0" collapsed="false">
      <c r="A577" s="9" t="s">
        <v>140</v>
      </c>
      <c r="B577" s="36" t="s">
        <v>55</v>
      </c>
      <c r="C577" s="38" t="n">
        <f aca="false">C575+C576</f>
        <v>847.345</v>
      </c>
    </row>
    <row r="578" customFormat="false" ht="15" hidden="false" customHeight="false" outlineLevel="0" collapsed="false">
      <c r="A578" s="26" t="s">
        <v>21</v>
      </c>
      <c r="B578" s="36" t="s">
        <v>104</v>
      </c>
      <c r="C578" s="39" t="n">
        <f aca="false">C575/C576</f>
        <v>1.5</v>
      </c>
    </row>
    <row r="580" customFormat="false" ht="15" hidden="false" customHeight="false" outlineLevel="0" collapsed="false">
      <c r="A580" s="24" t="s">
        <v>141</v>
      </c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</row>
    <row r="581" customFormat="false" ht="15" hidden="false" customHeight="false" outlineLevel="0" collapsed="false">
      <c r="A581" s="26" t="s">
        <v>142</v>
      </c>
      <c r="B581" s="36" t="s">
        <v>55</v>
      </c>
      <c r="C581" s="37" t="n">
        <f aca="false">C562*(1+Inputs!$C$16)</f>
        <v>265.65</v>
      </c>
    </row>
    <row r="582" customFormat="false" ht="15" hidden="false" customHeight="false" outlineLevel="0" collapsed="false">
      <c r="A582" s="26" t="s">
        <v>143</v>
      </c>
      <c r="B582" s="36" t="s">
        <v>55</v>
      </c>
      <c r="C582" s="37" t="n">
        <f aca="false">C563+C564+C565+C566</f>
        <v>471.9</v>
      </c>
    </row>
    <row r="583" customFormat="false" ht="15" hidden="false" customHeight="false" outlineLevel="0" collapsed="false">
      <c r="A583" s="26" t="s">
        <v>144</v>
      </c>
      <c r="B583" s="36" t="s">
        <v>55</v>
      </c>
      <c r="C583" s="37" t="n">
        <f aca="false">C582*(1+Inputs!$C$16)</f>
        <v>495.495</v>
      </c>
    </row>
    <row r="584" customFormat="false" ht="15" hidden="false" customHeight="false" outlineLevel="0" collapsed="false">
      <c r="A584" s="24" t="s">
        <v>294</v>
      </c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</row>
    <row r="585" customFormat="false" ht="15" hidden="false" customHeight="false" outlineLevel="0" collapsed="false">
      <c r="A585" s="26" t="s">
        <v>147</v>
      </c>
      <c r="B585" s="36" t="s">
        <v>62</v>
      </c>
      <c r="D585" s="40" t="n">
        <f aca="false">MAX(0,MIN(1,Inputs!D$56+Inputs!$D$64))</f>
        <v>0.55</v>
      </c>
      <c r="E585" s="40" t="n">
        <f aca="false">MAX(0,MIN(1,Inputs!E$56+Inputs!$D$64))</f>
        <v>0.65</v>
      </c>
      <c r="F585" s="40" t="n">
        <f aca="false">MAX(0,MIN(1,Inputs!F$56+Inputs!$D$64))</f>
        <v>0.75</v>
      </c>
      <c r="G585" s="40" t="n">
        <f aca="false">MAX(0,MIN(1,Inputs!G$56+Inputs!$D$64))</f>
        <v>0.8</v>
      </c>
      <c r="H585" s="40" t="n">
        <f aca="false">MAX(0,MIN(1,Inputs!H$56+Inputs!$D$64))</f>
        <v>0.8</v>
      </c>
      <c r="I585" s="40" t="n">
        <f aca="false">MAX(0,MIN(1,Inputs!I$56+Inputs!$D$64))</f>
        <v>0.82</v>
      </c>
      <c r="J585" s="40" t="n">
        <f aca="false">MAX(0,MIN(1,Inputs!J$56+Inputs!$D$64))</f>
        <v>0.82</v>
      </c>
      <c r="K585" s="40" t="n">
        <f aca="false">MAX(0,MIN(1,Inputs!K$56+Inputs!$D$64))</f>
        <v>0.82</v>
      </c>
      <c r="L585" s="40" t="n">
        <f aca="false">MAX(0,MIN(1,Inputs!L$56+Inputs!$D$64))</f>
        <v>0.82</v>
      </c>
      <c r="M585" s="40" t="n">
        <f aca="false">MAX(0,MIN(1,Inputs!M$56+Inputs!$D$64))</f>
        <v>0.82</v>
      </c>
    </row>
    <row r="586" customFormat="false" ht="15" hidden="false" customHeight="false" outlineLevel="0" collapsed="false">
      <c r="A586" s="26" t="s">
        <v>148</v>
      </c>
      <c r="B586" s="36" t="s">
        <v>72</v>
      </c>
      <c r="D586" s="41" t="n">
        <f aca="false">Inputs!$C$25*D585</f>
        <v>2750</v>
      </c>
      <c r="E586" s="41" t="n">
        <f aca="false">Inputs!$C$25*E585</f>
        <v>3250</v>
      </c>
      <c r="F586" s="41" t="n">
        <f aca="false">Inputs!$C$25*F585</f>
        <v>3750</v>
      </c>
      <c r="G586" s="41" t="n">
        <f aca="false">Inputs!$C$25*G585</f>
        <v>4000</v>
      </c>
      <c r="H586" s="41" t="n">
        <f aca="false">Inputs!$C$25*H585</f>
        <v>4000</v>
      </c>
      <c r="I586" s="41" t="n">
        <f aca="false">Inputs!$C$25*I585</f>
        <v>4100</v>
      </c>
      <c r="J586" s="41" t="n">
        <f aca="false">Inputs!$C$25*J585</f>
        <v>4100</v>
      </c>
      <c r="K586" s="41" t="n">
        <f aca="false">Inputs!$C$25*K585</f>
        <v>4100</v>
      </c>
      <c r="L586" s="41" t="n">
        <f aca="false">Inputs!$C$25*L585</f>
        <v>4100</v>
      </c>
      <c r="M586" s="41" t="n">
        <f aca="false">Inputs!$C$25*M585</f>
        <v>4100</v>
      </c>
    </row>
    <row r="587" customFormat="false" ht="15" hidden="false" customHeight="false" outlineLevel="0" collapsed="false">
      <c r="A587" s="26" t="s">
        <v>149</v>
      </c>
      <c r="B587" s="36" t="s">
        <v>74</v>
      </c>
      <c r="D587" s="42" t="n">
        <f aca="false">Inputs!$C$26*(1+Inputs!$C$27)^(Inputs!D$6-1)*(1+Inputs!$C$64)</f>
        <v>6000</v>
      </c>
      <c r="E587" s="42" t="n">
        <f aca="false">Inputs!$C$26*(1+Inputs!$C$27)^(Inputs!E$6-1)*(1+Inputs!$C$64)</f>
        <v>6240</v>
      </c>
      <c r="F587" s="42" t="n">
        <f aca="false">Inputs!$C$26*(1+Inputs!$C$27)^(Inputs!F$6-1)*(1+Inputs!$C$64)</f>
        <v>6489.6</v>
      </c>
      <c r="G587" s="42" t="n">
        <f aca="false">Inputs!$C$26*(1+Inputs!$C$27)^(Inputs!G$6-1)*(1+Inputs!$C$64)</f>
        <v>6749.184</v>
      </c>
      <c r="H587" s="42" t="n">
        <f aca="false">Inputs!$C$26*(1+Inputs!$C$27)^(Inputs!H$6-1)*(1+Inputs!$C$64)</f>
        <v>7019.15136</v>
      </c>
      <c r="I587" s="42" t="n">
        <f aca="false">Inputs!$C$26*(1+Inputs!$C$27)^(Inputs!I$6-1)*(1+Inputs!$C$64)</f>
        <v>7299.9174144</v>
      </c>
      <c r="J587" s="42" t="n">
        <f aca="false">Inputs!$C$26*(1+Inputs!$C$27)^(Inputs!J$6-1)*(1+Inputs!$C$64)</f>
        <v>7591.914110976</v>
      </c>
      <c r="K587" s="42" t="n">
        <f aca="false">Inputs!$C$26*(1+Inputs!$C$27)^(Inputs!K$6-1)*(1+Inputs!$C$64)</f>
        <v>7895.59067541504</v>
      </c>
      <c r="L587" s="42" t="n">
        <f aca="false">Inputs!$C$26*(1+Inputs!$C$27)^(Inputs!L$6-1)*(1+Inputs!$C$64)</f>
        <v>8211.41430243164</v>
      </c>
      <c r="M587" s="42" t="n">
        <f aca="false">Inputs!$C$26*(1+Inputs!$C$27)^(Inputs!M$6-1)*(1+Inputs!$C$64)</f>
        <v>8539.87087452891</v>
      </c>
    </row>
    <row r="588" customFormat="false" ht="15" hidden="false" customHeight="false" outlineLevel="0" collapsed="false">
      <c r="A588" s="26" t="s">
        <v>150</v>
      </c>
      <c r="B588" s="36" t="s">
        <v>55</v>
      </c>
      <c r="D588" s="37" t="n">
        <f aca="false">D586*D587/Inputs!$C$48</f>
        <v>165</v>
      </c>
      <c r="E588" s="37" t="n">
        <f aca="false">E586*E587/Inputs!$C$48</f>
        <v>202.8</v>
      </c>
      <c r="F588" s="37" t="n">
        <f aca="false">F586*F587/Inputs!$C$48</f>
        <v>243.36</v>
      </c>
      <c r="G588" s="37" t="n">
        <f aca="false">G586*G587/Inputs!$C$48</f>
        <v>269.96736</v>
      </c>
      <c r="H588" s="37" t="n">
        <f aca="false">H586*H587/Inputs!$C$48</f>
        <v>280.7660544</v>
      </c>
      <c r="I588" s="37" t="n">
        <f aca="false">I586*I587/Inputs!$C$48</f>
        <v>299.2966139904</v>
      </c>
      <c r="J588" s="37" t="n">
        <f aca="false">J586*J587/Inputs!$C$48</f>
        <v>311.268478550016</v>
      </c>
      <c r="K588" s="37" t="n">
        <f aca="false">K586*K587/Inputs!$C$48</f>
        <v>323.719217692017</v>
      </c>
      <c r="L588" s="37" t="n">
        <f aca="false">L586*L587/Inputs!$C$48</f>
        <v>336.667986399697</v>
      </c>
      <c r="M588" s="37" t="n">
        <f aca="false">M586*M587/Inputs!$C$48</f>
        <v>350.134705855685</v>
      </c>
    </row>
    <row r="589" customFormat="false" ht="15" hidden="false" customHeight="false" outlineLevel="0" collapsed="false">
      <c r="A589" s="26" t="s">
        <v>151</v>
      </c>
      <c r="B589" s="36" t="s">
        <v>55</v>
      </c>
      <c r="D589" s="37" t="n">
        <f aca="false">D588*Inputs!$C$28</f>
        <v>16.5</v>
      </c>
      <c r="E589" s="37" t="n">
        <f aca="false">E588*Inputs!$C$28</f>
        <v>20.28</v>
      </c>
      <c r="F589" s="37" t="n">
        <f aca="false">F588*Inputs!$C$28</f>
        <v>24.336</v>
      </c>
      <c r="G589" s="37" t="n">
        <f aca="false">G588*Inputs!$C$28</f>
        <v>26.996736</v>
      </c>
      <c r="H589" s="37" t="n">
        <f aca="false">H588*Inputs!$C$28</f>
        <v>28.07660544</v>
      </c>
      <c r="I589" s="37" t="n">
        <f aca="false">I588*Inputs!$C$28</f>
        <v>29.92966139904</v>
      </c>
      <c r="J589" s="37" t="n">
        <f aca="false">J588*Inputs!$C$28</f>
        <v>31.1268478550016</v>
      </c>
      <c r="K589" s="37" t="n">
        <f aca="false">K588*Inputs!$C$28</f>
        <v>32.3719217692017</v>
      </c>
      <c r="L589" s="37" t="n">
        <f aca="false">L588*Inputs!$C$28</f>
        <v>33.6667986399697</v>
      </c>
      <c r="M589" s="37" t="n">
        <f aca="false">M588*Inputs!$C$28</f>
        <v>35.0134705855685</v>
      </c>
    </row>
    <row r="590" customFormat="false" ht="15" hidden="false" customHeight="false" outlineLevel="0" collapsed="false">
      <c r="A590" s="9" t="s">
        <v>152</v>
      </c>
      <c r="B590" s="36" t="s">
        <v>55</v>
      </c>
      <c r="D590" s="38" t="n">
        <f aca="false">D588+D589</f>
        <v>181.5</v>
      </c>
      <c r="E590" s="38" t="n">
        <f aca="false">E588+E589</f>
        <v>223.08</v>
      </c>
      <c r="F590" s="38" t="n">
        <f aca="false">F588+F589</f>
        <v>267.696</v>
      </c>
      <c r="G590" s="38" t="n">
        <f aca="false">G588+G589</f>
        <v>296.964096</v>
      </c>
      <c r="H590" s="38" t="n">
        <f aca="false">H588+H589</f>
        <v>308.84265984</v>
      </c>
      <c r="I590" s="38" t="n">
        <f aca="false">I588+I589</f>
        <v>329.22627538944</v>
      </c>
      <c r="J590" s="38" t="n">
        <f aca="false">J588+J589</f>
        <v>342.395326405018</v>
      </c>
      <c r="K590" s="38" t="n">
        <f aca="false">K588+K589</f>
        <v>356.091139461218</v>
      </c>
      <c r="L590" s="38" t="n">
        <f aca="false">L588+L589</f>
        <v>370.334785039667</v>
      </c>
      <c r="M590" s="38" t="n">
        <f aca="false">M588+M589</f>
        <v>385.148176441254</v>
      </c>
    </row>
    <row r="592" customFormat="false" ht="15" hidden="false" customHeight="false" outlineLevel="0" collapsed="false">
      <c r="A592" s="24" t="s">
        <v>153</v>
      </c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</row>
    <row r="593" customFormat="false" ht="15" hidden="false" customHeight="false" outlineLevel="0" collapsed="false">
      <c r="A593" s="26" t="s">
        <v>154</v>
      </c>
      <c r="B593" s="36" t="s">
        <v>55</v>
      </c>
      <c r="D593" s="37" t="n">
        <f aca="false">D586*Inputs!$C$30*(1+Inputs!$C$31)^(Inputs!D$6-1)/Inputs!$C$48*(1+Inputs!$E$64)</f>
        <v>26.125</v>
      </c>
      <c r="E593" s="37" t="n">
        <f aca="false">E586*Inputs!$C$30*(1+Inputs!$C$31)^(Inputs!E$6-1)/Inputs!$C$48*(1+Inputs!$E$64)</f>
        <v>32.41875</v>
      </c>
      <c r="F593" s="37" t="n">
        <f aca="false">F586*Inputs!$C$30*(1+Inputs!$C$31)^(Inputs!F$6-1)/Inputs!$C$48*(1+Inputs!$E$64)</f>
        <v>39.2765625</v>
      </c>
      <c r="G593" s="37" t="n">
        <f aca="false">G586*Inputs!$C$30*(1+Inputs!$C$31)^(Inputs!G$6-1)/Inputs!$C$48*(1+Inputs!$E$64)</f>
        <v>43.98975</v>
      </c>
      <c r="H593" s="37" t="n">
        <f aca="false">H586*Inputs!$C$30*(1+Inputs!$C$31)^(Inputs!H$6-1)/Inputs!$C$48*(1+Inputs!$E$64)</f>
        <v>46.1892375</v>
      </c>
      <c r="I593" s="37" t="n">
        <f aca="false">I586*Inputs!$C$30*(1+Inputs!$C$31)^(Inputs!I$6-1)/Inputs!$C$48*(1+Inputs!$E$64)</f>
        <v>49.711166859375</v>
      </c>
      <c r="J593" s="37" t="n">
        <f aca="false">J586*Inputs!$C$30*(1+Inputs!$C$31)^(Inputs!J$6-1)/Inputs!$C$48*(1+Inputs!$E$64)</f>
        <v>52.1967252023438</v>
      </c>
      <c r="K593" s="37" t="n">
        <f aca="false">K586*Inputs!$C$30*(1+Inputs!$C$31)^(Inputs!K$6-1)/Inputs!$C$48*(1+Inputs!$E$64)</f>
        <v>54.806561462461</v>
      </c>
      <c r="L593" s="37" t="n">
        <f aca="false">L586*Inputs!$C$30*(1+Inputs!$C$31)^(Inputs!L$6-1)/Inputs!$C$48*(1+Inputs!$E$64)</f>
        <v>57.546889535584</v>
      </c>
      <c r="M593" s="37" t="n">
        <f aca="false">M586*Inputs!$C$30*(1+Inputs!$C$31)^(Inputs!M$6-1)/Inputs!$C$48*(1+Inputs!$E$64)</f>
        <v>60.4242340123632</v>
      </c>
    </row>
    <row r="594" customFormat="false" ht="15" hidden="false" customHeight="false" outlineLevel="0" collapsed="false">
      <c r="A594" s="26" t="s">
        <v>155</v>
      </c>
      <c r="B594" s="36" t="s">
        <v>55</v>
      </c>
      <c r="D594" s="37" t="n">
        <f aca="false">-D593*Inputs!$C$32</f>
        <v>-4.7025</v>
      </c>
      <c r="E594" s="37" t="n">
        <f aca="false">-E593*Inputs!$C$32</f>
        <v>-5.835375</v>
      </c>
      <c r="F594" s="37" t="n">
        <f aca="false">-F593*Inputs!$C$32</f>
        <v>-7.06978125</v>
      </c>
      <c r="G594" s="37" t="n">
        <f aca="false">-G593*Inputs!$C$32</f>
        <v>-7.918155</v>
      </c>
      <c r="H594" s="37" t="n">
        <f aca="false">-H593*Inputs!$C$32</f>
        <v>-8.31406275</v>
      </c>
      <c r="I594" s="37" t="n">
        <f aca="false">-I593*Inputs!$C$32</f>
        <v>-8.9480100346875</v>
      </c>
      <c r="J594" s="37" t="n">
        <f aca="false">-J593*Inputs!$C$32</f>
        <v>-9.39541053642188</v>
      </c>
      <c r="K594" s="37" t="n">
        <f aca="false">-K593*Inputs!$C$32</f>
        <v>-9.86518106324297</v>
      </c>
      <c r="L594" s="37" t="n">
        <f aca="false">-L593*Inputs!$C$32</f>
        <v>-10.3584401164051</v>
      </c>
      <c r="M594" s="37" t="n">
        <f aca="false">-M593*Inputs!$C$32</f>
        <v>-10.8763621222254</v>
      </c>
    </row>
    <row r="595" customFormat="false" ht="15" hidden="false" customHeight="false" outlineLevel="0" collapsed="false">
      <c r="A595" s="26" t="s">
        <v>156</v>
      </c>
      <c r="B595" s="36" t="s">
        <v>55</v>
      </c>
      <c r="D595" s="37" t="n">
        <f aca="false">D590*Inputs!$C$33*(1+Inputs!$E$64)</f>
        <v>5.445</v>
      </c>
      <c r="E595" s="37" t="n">
        <f aca="false">E590*Inputs!$C$33*(1+Inputs!$E$64)</f>
        <v>6.6924</v>
      </c>
      <c r="F595" s="37" t="n">
        <f aca="false">F590*Inputs!$C$33*(1+Inputs!$E$64)</f>
        <v>8.03088</v>
      </c>
      <c r="G595" s="37" t="n">
        <f aca="false">G590*Inputs!$C$33*(1+Inputs!$E$64)</f>
        <v>8.90892288</v>
      </c>
      <c r="H595" s="37" t="n">
        <f aca="false">H590*Inputs!$C$33*(1+Inputs!$E$64)</f>
        <v>9.2652797952</v>
      </c>
      <c r="I595" s="37" t="n">
        <f aca="false">I590*Inputs!$C$33*(1+Inputs!$E$64)</f>
        <v>9.8767882616832</v>
      </c>
      <c r="J595" s="37" t="n">
        <f aca="false">J590*Inputs!$C$33*(1+Inputs!$E$64)</f>
        <v>10.2718597921505</v>
      </c>
      <c r="K595" s="37" t="n">
        <f aca="false">K590*Inputs!$C$33*(1+Inputs!$E$64)</f>
        <v>10.6827341838366</v>
      </c>
      <c r="L595" s="37" t="n">
        <f aca="false">L590*Inputs!$C$33*(1+Inputs!$E$64)</f>
        <v>11.11004355119</v>
      </c>
      <c r="M595" s="37" t="n">
        <f aca="false">M590*Inputs!$C$33*(1+Inputs!$E$64)</f>
        <v>11.5544452932376</v>
      </c>
    </row>
    <row r="596" customFormat="false" ht="15" hidden="false" customHeight="false" outlineLevel="0" collapsed="false">
      <c r="A596" s="26" t="s">
        <v>157</v>
      </c>
      <c r="B596" s="36" t="s">
        <v>55</v>
      </c>
      <c r="D596" s="37" t="n">
        <f aca="false">Inputs!$C$34*(1+Inputs!$C$35)^(Inputs!D$6-1)*(1+Inputs!$E$64)</f>
        <v>32</v>
      </c>
      <c r="E596" s="37" t="n">
        <f aca="false">Inputs!$C$34*(1+Inputs!$C$35)^(Inputs!E$6-1)*(1+Inputs!$E$64)</f>
        <v>33.92</v>
      </c>
      <c r="F596" s="37" t="n">
        <f aca="false">Inputs!$C$34*(1+Inputs!$C$35)^(Inputs!F$6-1)*(1+Inputs!$E$64)</f>
        <v>35.9552</v>
      </c>
      <c r="G596" s="37" t="n">
        <f aca="false">Inputs!$C$34*(1+Inputs!$C$35)^(Inputs!G$6-1)*(1+Inputs!$E$64)</f>
        <v>38.112512</v>
      </c>
      <c r="H596" s="37" t="n">
        <f aca="false">Inputs!$C$34*(1+Inputs!$C$35)^(Inputs!H$6-1)*(1+Inputs!$E$64)</f>
        <v>40.39926272</v>
      </c>
      <c r="I596" s="37" t="n">
        <f aca="false">Inputs!$C$34*(1+Inputs!$C$35)^(Inputs!I$6-1)*(1+Inputs!$E$64)</f>
        <v>42.8232184832</v>
      </c>
      <c r="J596" s="37" t="n">
        <f aca="false">Inputs!$C$34*(1+Inputs!$C$35)^(Inputs!J$6-1)*(1+Inputs!$E$64)</f>
        <v>45.392611592192</v>
      </c>
      <c r="K596" s="37" t="n">
        <f aca="false">Inputs!$C$34*(1+Inputs!$C$35)^(Inputs!K$6-1)*(1+Inputs!$E$64)</f>
        <v>48.1161682877235</v>
      </c>
      <c r="L596" s="37" t="n">
        <f aca="false">Inputs!$C$34*(1+Inputs!$C$35)^(Inputs!L$6-1)*(1+Inputs!$E$64)</f>
        <v>51.003138384987</v>
      </c>
      <c r="M596" s="37" t="n">
        <f aca="false">Inputs!$C$34*(1+Inputs!$C$35)^(Inputs!M$6-1)*(1+Inputs!$E$64)</f>
        <v>54.0633266880862</v>
      </c>
    </row>
    <row r="597" customFormat="false" ht="15" hidden="false" customHeight="false" outlineLevel="0" collapsed="false">
      <c r="A597" s="26" t="s">
        <v>158</v>
      </c>
      <c r="B597" s="36" t="s">
        <v>55</v>
      </c>
      <c r="D597" s="37" t="n">
        <f aca="false">$C$582*Inputs!$C$36*(1+Inputs!$E$64)</f>
        <v>7.0785</v>
      </c>
      <c r="E597" s="37" t="n">
        <f aca="false">$C$582*Inputs!$C$36*(1+Inputs!$E$64)</f>
        <v>7.0785</v>
      </c>
      <c r="F597" s="37" t="n">
        <f aca="false">$C$582*Inputs!$C$36*(1+Inputs!$E$64)</f>
        <v>7.0785</v>
      </c>
      <c r="G597" s="37" t="n">
        <f aca="false">$C$582*Inputs!$C$36*(1+Inputs!$E$64)</f>
        <v>7.0785</v>
      </c>
      <c r="H597" s="37" t="n">
        <f aca="false">$C$582*Inputs!$C$36*(1+Inputs!$E$64)</f>
        <v>7.0785</v>
      </c>
      <c r="I597" s="37" t="n">
        <f aca="false">$C$582*Inputs!$C$36*(1+Inputs!$E$64)</f>
        <v>7.0785</v>
      </c>
      <c r="J597" s="37" t="n">
        <f aca="false">$C$582*Inputs!$C$36*(1+Inputs!$E$64)</f>
        <v>7.0785</v>
      </c>
      <c r="K597" s="37" t="n">
        <f aca="false">$C$582*Inputs!$C$36*(1+Inputs!$E$64)</f>
        <v>7.0785</v>
      </c>
      <c r="L597" s="37" t="n">
        <f aca="false">$C$582*Inputs!$C$36*(1+Inputs!$E$64)</f>
        <v>7.0785</v>
      </c>
      <c r="M597" s="37" t="n">
        <f aca="false">$C$582*Inputs!$C$36*(1+Inputs!$E$64)</f>
        <v>7.0785</v>
      </c>
    </row>
    <row r="598" customFormat="false" ht="15" hidden="false" customHeight="false" outlineLevel="0" collapsed="false">
      <c r="A598" s="26" t="s">
        <v>159</v>
      </c>
      <c r="B598" s="36" t="s">
        <v>55</v>
      </c>
      <c r="D598" s="37" t="n">
        <f aca="false">($C$581+$C$583)*Inputs!$C$37*(1+Inputs!$E$64)</f>
        <v>3.04458</v>
      </c>
      <c r="E598" s="37" t="n">
        <f aca="false">($C$581+$C$583)*Inputs!$C$37*(1+Inputs!$E$64)</f>
        <v>3.04458</v>
      </c>
      <c r="F598" s="37" t="n">
        <f aca="false">($C$581+$C$583)*Inputs!$C$37*(1+Inputs!$E$64)</f>
        <v>3.04458</v>
      </c>
      <c r="G598" s="37" t="n">
        <f aca="false">($C$581+$C$583)*Inputs!$C$37*(1+Inputs!$E$64)</f>
        <v>3.04458</v>
      </c>
      <c r="H598" s="37" t="n">
        <f aca="false">($C$581+$C$583)*Inputs!$C$37*(1+Inputs!$E$64)</f>
        <v>3.04458</v>
      </c>
      <c r="I598" s="37" t="n">
        <f aca="false">($C$581+$C$583)*Inputs!$C$37*(1+Inputs!$E$64)</f>
        <v>3.04458</v>
      </c>
      <c r="J598" s="37" t="n">
        <f aca="false">($C$581+$C$583)*Inputs!$C$37*(1+Inputs!$E$64)</f>
        <v>3.04458</v>
      </c>
      <c r="K598" s="37" t="n">
        <f aca="false">($C$581+$C$583)*Inputs!$C$37*(1+Inputs!$E$64)</f>
        <v>3.04458</v>
      </c>
      <c r="L598" s="37" t="n">
        <f aca="false">($C$581+$C$583)*Inputs!$C$37*(1+Inputs!$E$64)</f>
        <v>3.04458</v>
      </c>
      <c r="M598" s="37" t="n">
        <f aca="false">($C$581+$C$583)*Inputs!$C$37*(1+Inputs!$E$64)</f>
        <v>3.04458</v>
      </c>
    </row>
    <row r="599" customFormat="false" ht="15" hidden="false" customHeight="false" outlineLevel="0" collapsed="false">
      <c r="A599" s="26" t="s">
        <v>160</v>
      </c>
      <c r="B599" s="36" t="s">
        <v>55</v>
      </c>
      <c r="D599" s="37" t="n">
        <f aca="false">Inputs!$C$38*(1+Inputs!$C$39)^(Inputs!D$6-1)*(1+Inputs!$E$64)</f>
        <v>9</v>
      </c>
      <c r="E599" s="37" t="n">
        <f aca="false">Inputs!$C$38*(1+Inputs!$C$39)^(Inputs!E$6-1)*(1+Inputs!$E$64)</f>
        <v>9.45</v>
      </c>
      <c r="F599" s="37" t="n">
        <f aca="false">Inputs!$C$38*(1+Inputs!$C$39)^(Inputs!F$6-1)*(1+Inputs!$E$64)</f>
        <v>9.9225</v>
      </c>
      <c r="G599" s="37" t="n">
        <f aca="false">Inputs!$C$38*(1+Inputs!$C$39)^(Inputs!G$6-1)*(1+Inputs!$E$64)</f>
        <v>10.418625</v>
      </c>
      <c r="H599" s="37" t="n">
        <f aca="false">Inputs!$C$38*(1+Inputs!$C$39)^(Inputs!H$6-1)*(1+Inputs!$E$64)</f>
        <v>10.93955625</v>
      </c>
      <c r="I599" s="37" t="n">
        <f aca="false">Inputs!$C$38*(1+Inputs!$C$39)^(Inputs!I$6-1)*(1+Inputs!$E$64)</f>
        <v>11.4865340625</v>
      </c>
      <c r="J599" s="37" t="n">
        <f aca="false">Inputs!$C$38*(1+Inputs!$C$39)^(Inputs!J$6-1)*(1+Inputs!$E$64)</f>
        <v>12.060860765625</v>
      </c>
      <c r="K599" s="37" t="n">
        <f aca="false">Inputs!$C$38*(1+Inputs!$C$39)^(Inputs!K$6-1)*(1+Inputs!$E$64)</f>
        <v>12.6639038039063</v>
      </c>
      <c r="L599" s="37" t="n">
        <f aca="false">Inputs!$C$38*(1+Inputs!$C$39)^(Inputs!L$6-1)*(1+Inputs!$E$64)</f>
        <v>13.2970989941016</v>
      </c>
      <c r="M599" s="37" t="n">
        <f aca="false">Inputs!$C$38*(1+Inputs!$C$39)^(Inputs!M$6-1)*(1+Inputs!$E$64)</f>
        <v>13.9619539438066</v>
      </c>
    </row>
    <row r="600" customFormat="false" ht="15" hidden="false" customHeight="false" outlineLevel="0" collapsed="false">
      <c r="A600" s="9" t="s">
        <v>161</v>
      </c>
      <c r="B600" s="36" t="s">
        <v>55</v>
      </c>
      <c r="D600" s="38" t="n">
        <f aca="false">SUM(D593:D599)</f>
        <v>77.99058</v>
      </c>
      <c r="E600" s="38" t="n">
        <f aca="false">SUM(E593:E599)</f>
        <v>86.768855</v>
      </c>
      <c r="F600" s="38" t="n">
        <f aca="false">SUM(F593:F599)</f>
        <v>96.23844125</v>
      </c>
      <c r="G600" s="38" t="n">
        <f aca="false">SUM(G593:G599)</f>
        <v>103.63473488</v>
      </c>
      <c r="H600" s="38" t="n">
        <f aca="false">SUM(H593:H599)</f>
        <v>108.6023535152</v>
      </c>
      <c r="I600" s="38" t="n">
        <f aca="false">SUM(I593:I599)</f>
        <v>115.072777632071</v>
      </c>
      <c r="J600" s="38" t="n">
        <f aca="false">SUM(J593:J599)</f>
        <v>120.649726815889</v>
      </c>
      <c r="K600" s="38" t="n">
        <f aca="false">SUM(K593:K599)</f>
        <v>126.527266674684</v>
      </c>
      <c r="L600" s="38" t="n">
        <f aca="false">SUM(L593:L599)</f>
        <v>132.721810349457</v>
      </c>
      <c r="M600" s="38" t="n">
        <f aca="false">SUM(M593:M599)</f>
        <v>139.250677815268</v>
      </c>
    </row>
    <row r="601" customFormat="false" ht="15" hidden="false" customHeight="false" outlineLevel="0" collapsed="false">
      <c r="A601" s="26" t="s">
        <v>162</v>
      </c>
      <c r="B601" s="36" t="s">
        <v>55</v>
      </c>
      <c r="D601" s="37" t="n">
        <f aca="false">D593+D594+D595</f>
        <v>26.8675</v>
      </c>
      <c r="E601" s="37" t="n">
        <f aca="false">E593+E594+E595</f>
        <v>33.275775</v>
      </c>
      <c r="F601" s="37" t="n">
        <f aca="false">F593+F594+F595</f>
        <v>40.23766125</v>
      </c>
      <c r="G601" s="37" t="n">
        <f aca="false">G593+G594+G595</f>
        <v>44.98051788</v>
      </c>
      <c r="H601" s="37" t="n">
        <f aca="false">H593+H594+H595</f>
        <v>47.1404545452</v>
      </c>
      <c r="I601" s="37" t="n">
        <f aca="false">I593+I594+I595</f>
        <v>50.6399450863707</v>
      </c>
      <c r="J601" s="37" t="n">
        <f aca="false">J593+J594+J595</f>
        <v>53.0731744580724</v>
      </c>
      <c r="K601" s="37" t="n">
        <f aca="false">K593+K594+K595</f>
        <v>55.6241145830545</v>
      </c>
      <c r="L601" s="37" t="n">
        <f aca="false">L593+L594+L595</f>
        <v>58.2984929703689</v>
      </c>
      <c r="M601" s="37" t="n">
        <f aca="false">M593+M594+M595</f>
        <v>61.1023171833754</v>
      </c>
    </row>
    <row r="602" customFormat="false" ht="15" hidden="false" customHeight="false" outlineLevel="0" collapsed="false">
      <c r="A602" s="26" t="s">
        <v>163</v>
      </c>
      <c r="B602" s="36" t="s">
        <v>55</v>
      </c>
      <c r="D602" s="37" t="n">
        <f aca="false">D596+D597+D598+D599</f>
        <v>51.12308</v>
      </c>
      <c r="E602" s="37" t="n">
        <f aca="false">E596+E597+E598+E599</f>
        <v>53.49308</v>
      </c>
      <c r="F602" s="37" t="n">
        <f aca="false">F596+F597+F598+F599</f>
        <v>56.00078</v>
      </c>
      <c r="G602" s="37" t="n">
        <f aca="false">G596+G597+G598+G599</f>
        <v>58.654217</v>
      </c>
      <c r="H602" s="37" t="n">
        <f aca="false">H596+H597+H598+H599</f>
        <v>61.46189897</v>
      </c>
      <c r="I602" s="37" t="n">
        <f aca="false">I596+I597+I598+I599</f>
        <v>64.4328325457</v>
      </c>
      <c r="J602" s="37" t="n">
        <f aca="false">J596+J597+J598+J599</f>
        <v>67.576552357817</v>
      </c>
      <c r="K602" s="37" t="n">
        <f aca="false">K596+K597+K598+K599</f>
        <v>70.9031520916298</v>
      </c>
      <c r="L602" s="37" t="n">
        <f aca="false">L596+L597+L598+L599</f>
        <v>74.4233173790885</v>
      </c>
      <c r="M602" s="37" t="n">
        <f aca="false">M596+M597+M598+M599</f>
        <v>78.1483606318928</v>
      </c>
    </row>
    <row r="603" customFormat="false" ht="15" hidden="false" customHeight="false" outlineLevel="0" collapsed="false">
      <c r="A603" s="9" t="s">
        <v>20</v>
      </c>
      <c r="B603" s="36" t="s">
        <v>55</v>
      </c>
      <c r="D603" s="38" t="n">
        <f aca="false">D590-D600</f>
        <v>103.50942</v>
      </c>
      <c r="E603" s="38" t="n">
        <f aca="false">E590-E600</f>
        <v>136.311145</v>
      </c>
      <c r="F603" s="38" t="n">
        <f aca="false">F590-F600</f>
        <v>171.45755875</v>
      </c>
      <c r="G603" s="38" t="n">
        <f aca="false">G590-G600</f>
        <v>193.32936112</v>
      </c>
      <c r="H603" s="38" t="n">
        <f aca="false">H590-H600</f>
        <v>200.2403063248</v>
      </c>
      <c r="I603" s="38" t="n">
        <f aca="false">I590-I600</f>
        <v>214.153497757369</v>
      </c>
      <c r="J603" s="38" t="n">
        <f aca="false">J590-J600</f>
        <v>221.745599589128</v>
      </c>
      <c r="K603" s="38" t="n">
        <f aca="false">K590-K600</f>
        <v>229.563872786534</v>
      </c>
      <c r="L603" s="38" t="n">
        <f aca="false">L590-L600</f>
        <v>237.61297469021</v>
      </c>
      <c r="M603" s="38" t="n">
        <f aca="false">M590-M600</f>
        <v>245.897498625986</v>
      </c>
    </row>
    <row r="605" customFormat="false" ht="15" hidden="false" customHeight="false" outlineLevel="0" collapsed="false">
      <c r="A605" s="24" t="s">
        <v>164</v>
      </c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</row>
    <row r="606" customFormat="false" ht="15" hidden="false" customHeight="false" outlineLevel="0" collapsed="false">
      <c r="A606" s="26" t="s">
        <v>165</v>
      </c>
      <c r="B606" s="36" t="s">
        <v>55</v>
      </c>
      <c r="D606" s="37" t="n">
        <f aca="false">IF(Inputs!D$6&lt;=Inputs!$C$41,$C$581/Inputs!$C$41,0)</f>
        <v>8.855</v>
      </c>
      <c r="E606" s="37" t="n">
        <f aca="false">IF(Inputs!E$6&lt;=Inputs!$C$41,$C$581/Inputs!$C$41,0)</f>
        <v>8.855</v>
      </c>
      <c r="F606" s="37" t="n">
        <f aca="false">IF(Inputs!F$6&lt;=Inputs!$C$41,$C$581/Inputs!$C$41,0)</f>
        <v>8.855</v>
      </c>
      <c r="G606" s="37" t="n">
        <f aca="false">IF(Inputs!G$6&lt;=Inputs!$C$41,$C$581/Inputs!$C$41,0)</f>
        <v>8.855</v>
      </c>
      <c r="H606" s="37" t="n">
        <f aca="false">IF(Inputs!H$6&lt;=Inputs!$C$41,$C$581/Inputs!$C$41,0)</f>
        <v>8.855</v>
      </c>
      <c r="I606" s="37" t="n">
        <f aca="false">IF(Inputs!I$6&lt;=Inputs!$C$41,$C$581/Inputs!$C$41,0)</f>
        <v>8.855</v>
      </c>
      <c r="J606" s="37" t="n">
        <f aca="false">IF(Inputs!J$6&lt;=Inputs!$C$41,$C$581/Inputs!$C$41,0)</f>
        <v>8.855</v>
      </c>
      <c r="K606" s="37" t="n">
        <f aca="false">IF(Inputs!K$6&lt;=Inputs!$C$41,$C$581/Inputs!$C$41,0)</f>
        <v>8.855</v>
      </c>
      <c r="L606" s="37" t="n">
        <f aca="false">IF(Inputs!L$6&lt;=Inputs!$C$41,$C$581/Inputs!$C$41,0)</f>
        <v>8.855</v>
      </c>
      <c r="M606" s="37" t="n">
        <f aca="false">IF(Inputs!M$6&lt;=Inputs!$C$41,$C$581/Inputs!$C$41,0)</f>
        <v>8.855</v>
      </c>
    </row>
    <row r="607" customFormat="false" ht="15" hidden="false" customHeight="false" outlineLevel="0" collapsed="false">
      <c r="A607" s="26" t="s">
        <v>166</v>
      </c>
      <c r="B607" s="36" t="s">
        <v>55</v>
      </c>
      <c r="D607" s="37" t="n">
        <f aca="false">IF(Inputs!D$6&lt;=Inputs!$C$42,$C$583/Inputs!$C$42,0)</f>
        <v>33.033</v>
      </c>
      <c r="E607" s="37" t="n">
        <f aca="false">IF(Inputs!E$6&lt;=Inputs!$C$42,$C$583/Inputs!$C$42,0)</f>
        <v>33.033</v>
      </c>
      <c r="F607" s="37" t="n">
        <f aca="false">IF(Inputs!F$6&lt;=Inputs!$C$42,$C$583/Inputs!$C$42,0)</f>
        <v>33.033</v>
      </c>
      <c r="G607" s="37" t="n">
        <f aca="false">IF(Inputs!G$6&lt;=Inputs!$C$42,$C$583/Inputs!$C$42,0)</f>
        <v>33.033</v>
      </c>
      <c r="H607" s="37" t="n">
        <f aca="false">IF(Inputs!H$6&lt;=Inputs!$C$42,$C$583/Inputs!$C$42,0)</f>
        <v>33.033</v>
      </c>
      <c r="I607" s="37" t="n">
        <f aca="false">IF(Inputs!I$6&lt;=Inputs!$C$42,$C$583/Inputs!$C$42,0)</f>
        <v>33.033</v>
      </c>
      <c r="J607" s="37" t="n">
        <f aca="false">IF(Inputs!J$6&lt;=Inputs!$C$42,$C$583/Inputs!$C$42,0)</f>
        <v>33.033</v>
      </c>
      <c r="K607" s="37" t="n">
        <f aca="false">IF(Inputs!K$6&lt;=Inputs!$C$42,$C$583/Inputs!$C$42,0)</f>
        <v>33.033</v>
      </c>
      <c r="L607" s="37" t="n">
        <f aca="false">IF(Inputs!L$6&lt;=Inputs!$C$42,$C$583/Inputs!$C$42,0)</f>
        <v>33.033</v>
      </c>
      <c r="M607" s="37" t="n">
        <f aca="false">IF(Inputs!M$6&lt;=Inputs!$C$42,$C$583/Inputs!$C$42,0)</f>
        <v>33.033</v>
      </c>
    </row>
    <row r="608" customFormat="false" ht="15" hidden="false" customHeight="false" outlineLevel="0" collapsed="false">
      <c r="A608" s="26" t="s">
        <v>167</v>
      </c>
      <c r="B608" s="36" t="s">
        <v>55</v>
      </c>
      <c r="D608" s="37" t="n">
        <f aca="false">IF(Inputs!D$6&lt;=Inputs!$C$43,$C$569/Inputs!$C$43,0)</f>
        <v>4.84</v>
      </c>
      <c r="E608" s="37" t="n">
        <f aca="false">IF(Inputs!E$6&lt;=Inputs!$C$43,$C$569/Inputs!$C$43,0)</f>
        <v>4.84</v>
      </c>
      <c r="F608" s="37" t="n">
        <f aca="false">IF(Inputs!F$6&lt;=Inputs!$C$43,$C$569/Inputs!$C$43,0)</f>
        <v>4.84</v>
      </c>
      <c r="G608" s="37" t="n">
        <f aca="false">IF(Inputs!G$6&lt;=Inputs!$C$43,$C$569/Inputs!$C$43,0)</f>
        <v>4.84</v>
      </c>
      <c r="H608" s="37" t="n">
        <f aca="false">IF(Inputs!H$6&lt;=Inputs!$C$43,$C$569/Inputs!$C$43,0)</f>
        <v>4.84</v>
      </c>
      <c r="I608" s="37" t="n">
        <f aca="false">IF(Inputs!I$6&lt;=Inputs!$C$43,$C$569/Inputs!$C$43,0)</f>
        <v>0</v>
      </c>
      <c r="J608" s="37" t="n">
        <f aca="false">IF(Inputs!J$6&lt;=Inputs!$C$43,$C$569/Inputs!$C$43,0)</f>
        <v>0</v>
      </c>
      <c r="K608" s="37" t="n">
        <f aca="false">IF(Inputs!K$6&lt;=Inputs!$C$43,$C$569/Inputs!$C$43,0)</f>
        <v>0</v>
      </c>
      <c r="L608" s="37" t="n">
        <f aca="false">IF(Inputs!L$6&lt;=Inputs!$C$43,$C$569/Inputs!$C$43,0)</f>
        <v>0</v>
      </c>
      <c r="M608" s="37" t="n">
        <f aca="false">IF(Inputs!M$6&lt;=Inputs!$C$43,$C$569/Inputs!$C$43,0)</f>
        <v>0</v>
      </c>
    </row>
    <row r="609" customFormat="false" ht="15" hidden="false" customHeight="false" outlineLevel="0" collapsed="false">
      <c r="A609" s="9" t="s">
        <v>168</v>
      </c>
      <c r="B609" s="36" t="s">
        <v>55</v>
      </c>
      <c r="D609" s="38" t="n">
        <f aca="false">SUM(D606:D608)</f>
        <v>46.728</v>
      </c>
      <c r="E609" s="38" t="n">
        <f aca="false">SUM(E606:E608)</f>
        <v>46.728</v>
      </c>
      <c r="F609" s="38" t="n">
        <f aca="false">SUM(F606:F608)</f>
        <v>46.728</v>
      </c>
      <c r="G609" s="38" t="n">
        <f aca="false">SUM(G606:G608)</f>
        <v>46.728</v>
      </c>
      <c r="H609" s="38" t="n">
        <f aca="false">SUM(H606:H608)</f>
        <v>46.728</v>
      </c>
      <c r="I609" s="38" t="n">
        <f aca="false">SUM(I606:I608)</f>
        <v>41.888</v>
      </c>
      <c r="J609" s="38" t="n">
        <f aca="false">SUM(J606:J608)</f>
        <v>41.888</v>
      </c>
      <c r="K609" s="38" t="n">
        <f aca="false">SUM(K606:K608)</f>
        <v>41.888</v>
      </c>
      <c r="L609" s="38" t="n">
        <f aca="false">SUM(L606:L608)</f>
        <v>41.888</v>
      </c>
      <c r="M609" s="38" t="n">
        <f aca="false">SUM(M606:M608)</f>
        <v>41.888</v>
      </c>
    </row>
    <row r="610" customFormat="false" ht="15" hidden="false" customHeight="false" outlineLevel="0" collapsed="false">
      <c r="A610" s="26" t="s">
        <v>169</v>
      </c>
      <c r="B610" s="36" t="s">
        <v>55</v>
      </c>
      <c r="C610" s="37" t="n">
        <f aca="false">C570</f>
        <v>829.345</v>
      </c>
      <c r="D610" s="37" t="n">
        <f aca="false">C610-D609</f>
        <v>782.617</v>
      </c>
      <c r="E610" s="37" t="n">
        <f aca="false">D610-E609</f>
        <v>735.889</v>
      </c>
      <c r="F610" s="37" t="n">
        <f aca="false">E610-F609</f>
        <v>689.161</v>
      </c>
      <c r="G610" s="37" t="n">
        <f aca="false">F610-G609</f>
        <v>642.433</v>
      </c>
      <c r="H610" s="37" t="n">
        <f aca="false">G610-H609</f>
        <v>595.705</v>
      </c>
      <c r="I610" s="37" t="n">
        <f aca="false">H610-I609</f>
        <v>553.817</v>
      </c>
      <c r="J610" s="37" t="n">
        <f aca="false">I610-J609</f>
        <v>511.929</v>
      </c>
      <c r="K610" s="37" t="n">
        <f aca="false">J610-K609</f>
        <v>470.041</v>
      </c>
      <c r="L610" s="37" t="n">
        <f aca="false">K610-L609</f>
        <v>428.153</v>
      </c>
      <c r="M610" s="37" t="n">
        <f aca="false">L610-M609</f>
        <v>386.265</v>
      </c>
    </row>
    <row r="612" customFormat="false" ht="15" hidden="false" customHeight="false" outlineLevel="0" collapsed="false">
      <c r="A612" s="24" t="s">
        <v>170</v>
      </c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</row>
    <row r="613" customFormat="false" ht="15" hidden="false" customHeight="false" outlineLevel="0" collapsed="false">
      <c r="A613" s="26" t="s">
        <v>171</v>
      </c>
      <c r="B613" s="36" t="s">
        <v>55</v>
      </c>
      <c r="C613" s="37" t="n">
        <f aca="false">0</f>
        <v>0</v>
      </c>
      <c r="D613" s="37" t="n">
        <f aca="false">D590*Inputs!$C$45/Inputs!$C$47</f>
        <v>22.3767123287671</v>
      </c>
      <c r="E613" s="37" t="n">
        <f aca="false">E590*Inputs!$C$45/Inputs!$C$47</f>
        <v>27.5030136986301</v>
      </c>
      <c r="F613" s="37" t="n">
        <f aca="false">F590*Inputs!$C$45/Inputs!$C$47</f>
        <v>33.0036164383562</v>
      </c>
      <c r="G613" s="37" t="n">
        <f aca="false">G590*Inputs!$C$45/Inputs!$C$47</f>
        <v>36.6120118356164</v>
      </c>
      <c r="H613" s="37" t="n">
        <f aca="false">H590*Inputs!$C$45/Inputs!$C$47</f>
        <v>38.0764923090411</v>
      </c>
      <c r="I613" s="37" t="n">
        <f aca="false">I590*Inputs!$C$45/Inputs!$C$47</f>
        <v>40.5895408014378</v>
      </c>
      <c r="J613" s="37" t="n">
        <f aca="false">J590*Inputs!$C$45/Inputs!$C$47</f>
        <v>42.2131224334953</v>
      </c>
      <c r="K613" s="37" t="n">
        <f aca="false">K590*Inputs!$C$45/Inputs!$C$47</f>
        <v>43.9016473308352</v>
      </c>
      <c r="L613" s="37" t="n">
        <f aca="false">L590*Inputs!$C$45/Inputs!$C$47</f>
        <v>45.6577132240686</v>
      </c>
      <c r="M613" s="37" t="n">
        <f aca="false">M590*Inputs!$C$45/Inputs!$C$47</f>
        <v>47.4840217530313</v>
      </c>
    </row>
    <row r="614" customFormat="false" ht="15" hidden="false" customHeight="false" outlineLevel="0" collapsed="false">
      <c r="A614" s="26" t="s">
        <v>172</v>
      </c>
      <c r="B614" s="36" t="s">
        <v>55</v>
      </c>
      <c r="C614" s="37" t="n">
        <f aca="false">0</f>
        <v>0</v>
      </c>
      <c r="D614" s="37" t="n">
        <f aca="false">D600*Inputs!$C$46/Inputs!$C$47</f>
        <v>6.41018465753425</v>
      </c>
      <c r="E614" s="37" t="n">
        <f aca="false">E600*Inputs!$C$46/Inputs!$C$47</f>
        <v>7.13168671232877</v>
      </c>
      <c r="F614" s="37" t="n">
        <f aca="false">F600*Inputs!$C$46/Inputs!$C$47</f>
        <v>7.91000886986301</v>
      </c>
      <c r="G614" s="37" t="n">
        <f aca="false">G600*Inputs!$C$46/Inputs!$C$47</f>
        <v>8.51792341479452</v>
      </c>
      <c r="H614" s="37" t="n">
        <f aca="false">H600*Inputs!$C$46/Inputs!$C$47</f>
        <v>8.92622083686576</v>
      </c>
      <c r="I614" s="37" t="n">
        <f aca="false">I600*Inputs!$C$46/Inputs!$C$47</f>
        <v>9.45803651770444</v>
      </c>
      <c r="J614" s="37" t="n">
        <f aca="false">J600*Inputs!$C$46/Inputs!$C$47</f>
        <v>9.91641590267584</v>
      </c>
      <c r="K614" s="37" t="n">
        <f aca="false">K600*Inputs!$C$46/Inputs!$C$47</f>
        <v>10.399501370522</v>
      </c>
      <c r="L614" s="37" t="n">
        <f aca="false">L600*Inputs!$C$46/Inputs!$C$47</f>
        <v>10.9086419465307</v>
      </c>
      <c r="M614" s="37" t="n">
        <f aca="false">M600*Inputs!$C$46/Inputs!$C$47</f>
        <v>11.445261190296</v>
      </c>
    </row>
    <row r="615" customFormat="false" ht="15" hidden="false" customHeight="false" outlineLevel="0" collapsed="false">
      <c r="A615" s="9" t="s">
        <v>173</v>
      </c>
      <c r="B615" s="36" t="s">
        <v>55</v>
      </c>
      <c r="C615" s="43" t="n">
        <f aca="false">C613-C614</f>
        <v>0</v>
      </c>
      <c r="D615" s="43" t="n">
        <f aca="false">D613-D614</f>
        <v>15.9665276712329</v>
      </c>
      <c r="E615" s="43" t="n">
        <f aca="false">E613-E614</f>
        <v>20.3713269863014</v>
      </c>
      <c r="F615" s="43" t="n">
        <f aca="false">F613-F614</f>
        <v>25.0936075684932</v>
      </c>
      <c r="G615" s="43" t="n">
        <f aca="false">G613-G614</f>
        <v>28.0940884208219</v>
      </c>
      <c r="H615" s="43" t="n">
        <f aca="false">H613-H614</f>
        <v>29.1502714721753</v>
      </c>
      <c r="I615" s="43" t="n">
        <f aca="false">I613-I614</f>
        <v>31.1315042837334</v>
      </c>
      <c r="J615" s="43" t="n">
        <f aca="false">J613-J614</f>
        <v>32.2967065308195</v>
      </c>
      <c r="K615" s="43" t="n">
        <f aca="false">K613-K614</f>
        <v>33.5021459603131</v>
      </c>
      <c r="L615" s="43" t="n">
        <f aca="false">L613-L614</f>
        <v>34.7490712775378</v>
      </c>
      <c r="M615" s="43" t="n">
        <f aca="false">M613-M614</f>
        <v>36.0387605627353</v>
      </c>
    </row>
    <row r="616" customFormat="false" ht="15" hidden="false" customHeight="false" outlineLevel="0" collapsed="false">
      <c r="A616" s="24" t="s">
        <v>295</v>
      </c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</row>
    <row r="617" customFormat="false" ht="15" hidden="false" customHeight="false" outlineLevel="0" collapsed="false">
      <c r="A617" s="26" t="s">
        <v>176</v>
      </c>
      <c r="B617" s="36" t="s">
        <v>55</v>
      </c>
      <c r="C617" s="37" t="n">
        <f aca="false">0</f>
        <v>0</v>
      </c>
      <c r="D617" s="37" t="n">
        <f aca="false">C622</f>
        <v>508.407</v>
      </c>
      <c r="E617" s="37" t="n">
        <f aca="false">D622</f>
        <v>508.407</v>
      </c>
      <c r="F617" s="37" t="n">
        <f aca="false">E622</f>
        <v>508.407</v>
      </c>
      <c r="G617" s="37" t="n">
        <f aca="false">F622</f>
        <v>435.777428571429</v>
      </c>
      <c r="H617" s="37" t="n">
        <f aca="false">G622</f>
        <v>363.147857142857</v>
      </c>
      <c r="I617" s="37" t="n">
        <f aca="false">H622</f>
        <v>290.518285714286</v>
      </c>
      <c r="J617" s="37" t="n">
        <f aca="false">I622</f>
        <v>217.888714285714</v>
      </c>
      <c r="K617" s="37" t="n">
        <f aca="false">J622</f>
        <v>145.259142857143</v>
      </c>
      <c r="L617" s="37" t="n">
        <f aca="false">K622</f>
        <v>72.6295714285713</v>
      </c>
      <c r="M617" s="37" t="n">
        <f aca="false">L622</f>
        <v>0</v>
      </c>
    </row>
    <row r="618" customFormat="false" ht="15" hidden="false" customHeight="false" outlineLevel="0" collapsed="false">
      <c r="A618" s="26" t="s">
        <v>177</v>
      </c>
      <c r="B618" s="36" t="s">
        <v>55</v>
      </c>
      <c r="C618" s="37" t="n">
        <f aca="false">C575</f>
        <v>508.407</v>
      </c>
      <c r="D618" s="37" t="n">
        <f aca="false">0</f>
        <v>0</v>
      </c>
      <c r="E618" s="37" t="n">
        <f aca="false">0</f>
        <v>0</v>
      </c>
      <c r="F618" s="37" t="n">
        <f aca="false">0</f>
        <v>0</v>
      </c>
      <c r="G618" s="37" t="n">
        <f aca="false">0</f>
        <v>0</v>
      </c>
      <c r="H618" s="37" t="n">
        <f aca="false">0</f>
        <v>0</v>
      </c>
      <c r="I618" s="37" t="n">
        <f aca="false">0</f>
        <v>0</v>
      </c>
      <c r="J618" s="37" t="n">
        <f aca="false">0</f>
        <v>0</v>
      </c>
      <c r="K618" s="37" t="n">
        <f aca="false">0</f>
        <v>0</v>
      </c>
      <c r="L618" s="37" t="n">
        <f aca="false">0</f>
        <v>0</v>
      </c>
      <c r="M618" s="37" t="n">
        <f aca="false">0</f>
        <v>0</v>
      </c>
    </row>
    <row r="619" customFormat="false" ht="15" hidden="false" customHeight="false" outlineLevel="0" collapsed="false">
      <c r="A619" s="26" t="s">
        <v>178</v>
      </c>
      <c r="B619" s="36" t="s">
        <v>62</v>
      </c>
      <c r="C619" s="40" t="n">
        <f aca="false">Inputs!$C$21+Inputs!$G$64</f>
        <v>0.105</v>
      </c>
      <c r="D619" s="40" t="n">
        <f aca="false">Inputs!$C$21+Inputs!$G$64</f>
        <v>0.105</v>
      </c>
      <c r="E619" s="40" t="n">
        <f aca="false">Inputs!$C$21+Inputs!$G$64</f>
        <v>0.105</v>
      </c>
      <c r="F619" s="40" t="n">
        <f aca="false">Inputs!$C$21+Inputs!$G$64</f>
        <v>0.105</v>
      </c>
      <c r="G619" s="40" t="n">
        <f aca="false">Inputs!$C$21+Inputs!$G$64</f>
        <v>0.105</v>
      </c>
      <c r="H619" s="40" t="n">
        <f aca="false">Inputs!$C$21+Inputs!$G$64</f>
        <v>0.105</v>
      </c>
      <c r="I619" s="40" t="n">
        <f aca="false">Inputs!$C$21+Inputs!$G$64</f>
        <v>0.105</v>
      </c>
      <c r="J619" s="40" t="n">
        <f aca="false">Inputs!$C$21+Inputs!$G$64</f>
        <v>0.105</v>
      </c>
      <c r="K619" s="40" t="n">
        <f aca="false">Inputs!$C$21+Inputs!$G$64</f>
        <v>0.105</v>
      </c>
      <c r="L619" s="40" t="n">
        <f aca="false">Inputs!$C$21+Inputs!$G$64</f>
        <v>0.105</v>
      </c>
      <c r="M619" s="40" t="n">
        <f aca="false">Inputs!$C$21+Inputs!$G$64</f>
        <v>0.105</v>
      </c>
    </row>
    <row r="620" customFormat="false" ht="15" hidden="false" customHeight="false" outlineLevel="0" collapsed="false">
      <c r="A620" s="26" t="s">
        <v>179</v>
      </c>
      <c r="B620" s="36" t="s">
        <v>55</v>
      </c>
      <c r="C620" s="37" t="n">
        <f aca="false">0</f>
        <v>0</v>
      </c>
      <c r="D620" s="37" t="n">
        <f aca="false">D617*D619</f>
        <v>53.382735</v>
      </c>
      <c r="E620" s="37" t="n">
        <f aca="false">E617*E619</f>
        <v>53.382735</v>
      </c>
      <c r="F620" s="37" t="n">
        <f aca="false">F617*F619</f>
        <v>53.382735</v>
      </c>
      <c r="G620" s="37" t="n">
        <f aca="false">G617*G619</f>
        <v>45.75663</v>
      </c>
      <c r="H620" s="37" t="n">
        <f aca="false">H617*H619</f>
        <v>38.130525</v>
      </c>
      <c r="I620" s="37" t="n">
        <f aca="false">I617*I619</f>
        <v>30.50442</v>
      </c>
      <c r="J620" s="37" t="n">
        <f aca="false">J617*J619</f>
        <v>22.878315</v>
      </c>
      <c r="K620" s="37" t="n">
        <f aca="false">K617*K619</f>
        <v>15.25221</v>
      </c>
      <c r="L620" s="37" t="n">
        <f aca="false">L617*L619</f>
        <v>7.62610499999999</v>
      </c>
      <c r="M620" s="37" t="n">
        <f aca="false">M617*M619</f>
        <v>0</v>
      </c>
    </row>
    <row r="621" customFormat="false" ht="15" hidden="false" customHeight="false" outlineLevel="0" collapsed="false">
      <c r="A621" s="26" t="s">
        <v>180</v>
      </c>
      <c r="B621" s="36" t="s">
        <v>55</v>
      </c>
      <c r="C621" s="37" t="n">
        <f aca="false">0</f>
        <v>0</v>
      </c>
      <c r="D621" s="37" t="n">
        <f aca="false">IF(AND(Inputs!D$6&gt;Inputs!$C$22,Inputs!D$6&lt;=Inputs!$C$22+Inputs!$C$23),MIN(D617,$C$575/Inputs!$C$23),0)</f>
        <v>0</v>
      </c>
      <c r="E621" s="37" t="n">
        <f aca="false">IF(AND(Inputs!E$6&gt;Inputs!$C$22,Inputs!E$6&lt;=Inputs!$C$22+Inputs!$C$23),MIN(E617,$C$575/Inputs!$C$23),0)</f>
        <v>0</v>
      </c>
      <c r="F621" s="37" t="n">
        <f aca="false">IF(AND(Inputs!F$6&gt;Inputs!$C$22,Inputs!F$6&lt;=Inputs!$C$22+Inputs!$C$23),MIN(F617,$C$575/Inputs!$C$23),0)</f>
        <v>72.6295714285714</v>
      </c>
      <c r="G621" s="37" t="n">
        <f aca="false">IF(AND(Inputs!G$6&gt;Inputs!$C$22,Inputs!G$6&lt;=Inputs!$C$22+Inputs!$C$23),MIN(G617,$C$575/Inputs!$C$23),0)</f>
        <v>72.6295714285714</v>
      </c>
      <c r="H621" s="37" t="n">
        <f aca="false">IF(AND(Inputs!H$6&gt;Inputs!$C$22,Inputs!H$6&lt;=Inputs!$C$22+Inputs!$C$23),MIN(H617,$C$575/Inputs!$C$23),0)</f>
        <v>72.6295714285714</v>
      </c>
      <c r="I621" s="37" t="n">
        <f aca="false">IF(AND(Inputs!I$6&gt;Inputs!$C$22,Inputs!I$6&lt;=Inputs!$C$22+Inputs!$C$23),MIN(I617,$C$575/Inputs!$C$23),0)</f>
        <v>72.6295714285714</v>
      </c>
      <c r="J621" s="37" t="n">
        <f aca="false">IF(AND(Inputs!J$6&gt;Inputs!$C$22,Inputs!J$6&lt;=Inputs!$C$22+Inputs!$C$23),MIN(J617,$C$575/Inputs!$C$23),0)</f>
        <v>72.6295714285714</v>
      </c>
      <c r="K621" s="37" t="n">
        <f aca="false">IF(AND(Inputs!K$6&gt;Inputs!$C$22,Inputs!K$6&lt;=Inputs!$C$22+Inputs!$C$23),MIN(K617,$C$575/Inputs!$C$23),0)</f>
        <v>72.6295714285714</v>
      </c>
      <c r="L621" s="37" t="n">
        <f aca="false">IF(AND(Inputs!L$6&gt;Inputs!$C$22,Inputs!L$6&lt;=Inputs!$C$22+Inputs!$C$23),MIN(L617,$C$575/Inputs!$C$23),0)</f>
        <v>72.6295714285713</v>
      </c>
      <c r="M621" s="37" t="n">
        <f aca="false">IF(AND(Inputs!M$6&gt;Inputs!$C$22,Inputs!M$6&lt;=Inputs!$C$22+Inputs!$C$23),MIN(M617,$C$575/Inputs!$C$23),0)</f>
        <v>0</v>
      </c>
    </row>
    <row r="622" customFormat="false" ht="15" hidden="false" customHeight="false" outlineLevel="0" collapsed="false">
      <c r="A622" s="9" t="s">
        <v>181</v>
      </c>
      <c r="B622" s="36" t="s">
        <v>55</v>
      </c>
      <c r="C622" s="38" t="n">
        <f aca="false">C617+C618-C621</f>
        <v>508.407</v>
      </c>
      <c r="D622" s="38" t="n">
        <f aca="false">D617+D618-D621</f>
        <v>508.407</v>
      </c>
      <c r="E622" s="38" t="n">
        <f aca="false">E617+E618-E621</f>
        <v>508.407</v>
      </c>
      <c r="F622" s="38" t="n">
        <f aca="false">F617+F618-F621</f>
        <v>435.777428571429</v>
      </c>
      <c r="G622" s="38" t="n">
        <f aca="false">G617+G618-G621</f>
        <v>363.147857142857</v>
      </c>
      <c r="H622" s="38" t="n">
        <f aca="false">H617+H618-H621</f>
        <v>290.518285714286</v>
      </c>
      <c r="I622" s="38" t="n">
        <f aca="false">I617+I618-I621</f>
        <v>217.888714285714</v>
      </c>
      <c r="J622" s="38" t="n">
        <f aca="false">J617+J618-J621</f>
        <v>145.259142857143</v>
      </c>
      <c r="K622" s="38" t="n">
        <f aca="false">K617+K618-K621</f>
        <v>72.6295714285713</v>
      </c>
      <c r="L622" s="38" t="n">
        <f aca="false">L617+L618-L621</f>
        <v>0</v>
      </c>
      <c r="M622" s="38" t="n">
        <f aca="false">M617+M618-M621</f>
        <v>0</v>
      </c>
    </row>
    <row r="623" customFormat="false" ht="15" hidden="false" customHeight="false" outlineLevel="0" collapsed="false">
      <c r="A623" s="24" t="s">
        <v>296</v>
      </c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</row>
    <row r="624" customFormat="false" ht="15" hidden="false" customHeight="false" outlineLevel="0" collapsed="false">
      <c r="A624" s="26" t="s">
        <v>152</v>
      </c>
      <c r="B624" s="36" t="s">
        <v>55</v>
      </c>
      <c r="D624" s="37" t="n">
        <f aca="false">D590</f>
        <v>181.5</v>
      </c>
      <c r="E624" s="37" t="n">
        <f aca="false">E590</f>
        <v>223.08</v>
      </c>
      <c r="F624" s="37" t="n">
        <f aca="false">F590</f>
        <v>267.696</v>
      </c>
      <c r="G624" s="37" t="n">
        <f aca="false">G590</f>
        <v>296.964096</v>
      </c>
      <c r="H624" s="37" t="n">
        <f aca="false">H590</f>
        <v>308.84265984</v>
      </c>
      <c r="I624" s="37" t="n">
        <f aca="false">I590</f>
        <v>329.22627538944</v>
      </c>
      <c r="J624" s="37" t="n">
        <f aca="false">J590</f>
        <v>342.395326405018</v>
      </c>
      <c r="K624" s="37" t="n">
        <f aca="false">K590</f>
        <v>356.091139461218</v>
      </c>
      <c r="L624" s="37" t="n">
        <f aca="false">L590</f>
        <v>370.334785039667</v>
      </c>
      <c r="M624" s="37" t="n">
        <f aca="false">M590</f>
        <v>385.148176441254</v>
      </c>
    </row>
    <row r="625" customFormat="false" ht="15" hidden="false" customHeight="false" outlineLevel="0" collapsed="false">
      <c r="A625" s="26" t="s">
        <v>77</v>
      </c>
      <c r="B625" s="36" t="s">
        <v>55</v>
      </c>
      <c r="D625" s="37" t="n">
        <f aca="false">D600</f>
        <v>77.99058</v>
      </c>
      <c r="E625" s="37" t="n">
        <f aca="false">E600</f>
        <v>86.768855</v>
      </c>
      <c r="F625" s="37" t="n">
        <f aca="false">F600</f>
        <v>96.23844125</v>
      </c>
      <c r="G625" s="37" t="n">
        <f aca="false">G600</f>
        <v>103.63473488</v>
      </c>
      <c r="H625" s="37" t="n">
        <f aca="false">H600</f>
        <v>108.6023535152</v>
      </c>
      <c r="I625" s="37" t="n">
        <f aca="false">I600</f>
        <v>115.072777632071</v>
      </c>
      <c r="J625" s="37" t="n">
        <f aca="false">J600</f>
        <v>120.649726815889</v>
      </c>
      <c r="K625" s="37" t="n">
        <f aca="false">K600</f>
        <v>126.527266674684</v>
      </c>
      <c r="L625" s="37" t="n">
        <f aca="false">L600</f>
        <v>132.721810349457</v>
      </c>
      <c r="M625" s="37" t="n">
        <f aca="false">M600</f>
        <v>139.250677815268</v>
      </c>
    </row>
    <row r="626" customFormat="false" ht="15" hidden="false" customHeight="false" outlineLevel="0" collapsed="false">
      <c r="A626" s="9" t="s">
        <v>20</v>
      </c>
      <c r="B626" s="36" t="s">
        <v>55</v>
      </c>
      <c r="D626" s="38" t="n">
        <f aca="false">D624-D625</f>
        <v>103.50942</v>
      </c>
      <c r="E626" s="38" t="n">
        <f aca="false">E624-E625</f>
        <v>136.311145</v>
      </c>
      <c r="F626" s="38" t="n">
        <f aca="false">F624-F625</f>
        <v>171.45755875</v>
      </c>
      <c r="G626" s="38" t="n">
        <f aca="false">G624-G625</f>
        <v>193.32936112</v>
      </c>
      <c r="H626" s="38" t="n">
        <f aca="false">H624-H625</f>
        <v>200.2403063248</v>
      </c>
      <c r="I626" s="38" t="n">
        <f aca="false">I624-I625</f>
        <v>214.153497757369</v>
      </c>
      <c r="J626" s="38" t="n">
        <f aca="false">J624-J625</f>
        <v>221.745599589128</v>
      </c>
      <c r="K626" s="38" t="n">
        <f aca="false">K624-K625</f>
        <v>229.563872786534</v>
      </c>
      <c r="L626" s="38" t="n">
        <f aca="false">L624-L625</f>
        <v>237.61297469021</v>
      </c>
      <c r="M626" s="38" t="n">
        <f aca="false">M624-M625</f>
        <v>245.897498625986</v>
      </c>
    </row>
    <row r="627" customFormat="false" ht="15" hidden="false" customHeight="false" outlineLevel="0" collapsed="false">
      <c r="A627" s="26" t="s">
        <v>184</v>
      </c>
      <c r="B627" s="36" t="s">
        <v>62</v>
      </c>
      <c r="D627" s="40" t="n">
        <f aca="false">IF(D624=0,0,D626/D624)</f>
        <v>0.570299834710744</v>
      </c>
      <c r="E627" s="40" t="n">
        <f aca="false">IF(E624=0,0,E626/E624)</f>
        <v>0.611041532185763</v>
      </c>
      <c r="F627" s="40" t="n">
        <f aca="false">IF(F624=0,0,F626/F624)</f>
        <v>0.640493540247146</v>
      </c>
      <c r="G627" s="40" t="n">
        <f aca="false">IF(G624=0,0,G626/G624)</f>
        <v>0.651019310832782</v>
      </c>
      <c r="H627" s="40" t="n">
        <f aca="false">IF(H624=0,0,H626/H624)</f>
        <v>0.64835701916483</v>
      </c>
      <c r="I627" s="40" t="n">
        <f aca="false">IF(I624=0,0,I626/I624)</f>
        <v>0.65047511017779</v>
      </c>
      <c r="J627" s="40" t="n">
        <f aca="false">IF(J624=0,0,J626/J624)</f>
        <v>0.647630333969064</v>
      </c>
      <c r="K627" s="40" t="n">
        <f aca="false">IF(K624=0,0,K626/K624)</f>
        <v>0.644677295632445</v>
      </c>
      <c r="L627" s="40" t="n">
        <f aca="false">IF(L624=0,0,L626/L624)</f>
        <v>0.641616678446122</v>
      </c>
      <c r="M627" s="40" t="n">
        <f aca="false">IF(M624=0,0,M626/M624)</f>
        <v>0.638449079255843</v>
      </c>
    </row>
    <row r="628" customFormat="false" ht="15" hidden="false" customHeight="false" outlineLevel="0" collapsed="false">
      <c r="A628" s="26" t="s">
        <v>185</v>
      </c>
      <c r="B628" s="36" t="s">
        <v>55</v>
      </c>
      <c r="D628" s="37" t="n">
        <f aca="false">D609</f>
        <v>46.728</v>
      </c>
      <c r="E628" s="37" t="n">
        <f aca="false">E609</f>
        <v>46.728</v>
      </c>
      <c r="F628" s="37" t="n">
        <f aca="false">F609</f>
        <v>46.728</v>
      </c>
      <c r="G628" s="37" t="n">
        <f aca="false">G609</f>
        <v>46.728</v>
      </c>
      <c r="H628" s="37" t="n">
        <f aca="false">H609</f>
        <v>46.728</v>
      </c>
      <c r="I628" s="37" t="n">
        <f aca="false">I609</f>
        <v>41.888</v>
      </c>
      <c r="J628" s="37" t="n">
        <f aca="false">J609</f>
        <v>41.888</v>
      </c>
      <c r="K628" s="37" t="n">
        <f aca="false">K609</f>
        <v>41.888</v>
      </c>
      <c r="L628" s="37" t="n">
        <f aca="false">L609</f>
        <v>41.888</v>
      </c>
      <c r="M628" s="37" t="n">
        <f aca="false">M609</f>
        <v>41.888</v>
      </c>
    </row>
    <row r="629" customFormat="false" ht="15" hidden="false" customHeight="false" outlineLevel="0" collapsed="false">
      <c r="A629" s="9" t="s">
        <v>186</v>
      </c>
      <c r="B629" s="36" t="s">
        <v>55</v>
      </c>
      <c r="D629" s="43" t="n">
        <f aca="false">D626-D628</f>
        <v>56.78142</v>
      </c>
      <c r="E629" s="43" t="n">
        <f aca="false">E626-E628</f>
        <v>89.583145</v>
      </c>
      <c r="F629" s="43" t="n">
        <f aca="false">F626-F628</f>
        <v>124.72955875</v>
      </c>
      <c r="G629" s="43" t="n">
        <f aca="false">G626-G628</f>
        <v>146.60136112</v>
      </c>
      <c r="H629" s="43" t="n">
        <f aca="false">H626-H628</f>
        <v>153.5123063248</v>
      </c>
      <c r="I629" s="43" t="n">
        <f aca="false">I626-I628</f>
        <v>172.265497757369</v>
      </c>
      <c r="J629" s="43" t="n">
        <f aca="false">J626-J628</f>
        <v>179.857599589128</v>
      </c>
      <c r="K629" s="43" t="n">
        <f aca="false">K626-K628</f>
        <v>187.675872786534</v>
      </c>
      <c r="L629" s="43" t="n">
        <f aca="false">L626-L628</f>
        <v>195.72497469021</v>
      </c>
      <c r="M629" s="43" t="n">
        <f aca="false">M626-M628</f>
        <v>204.009498625986</v>
      </c>
    </row>
    <row r="630" customFormat="false" ht="15" hidden="false" customHeight="false" outlineLevel="0" collapsed="false">
      <c r="A630" s="26" t="s">
        <v>187</v>
      </c>
      <c r="B630" s="36" t="s">
        <v>55</v>
      </c>
      <c r="D630" s="37" t="n">
        <f aca="false">D620</f>
        <v>53.382735</v>
      </c>
      <c r="E630" s="37" t="n">
        <f aca="false">E620</f>
        <v>53.382735</v>
      </c>
      <c r="F630" s="37" t="n">
        <f aca="false">F620</f>
        <v>53.382735</v>
      </c>
      <c r="G630" s="37" t="n">
        <f aca="false">G620</f>
        <v>45.75663</v>
      </c>
      <c r="H630" s="37" t="n">
        <f aca="false">H620</f>
        <v>38.130525</v>
      </c>
      <c r="I630" s="37" t="n">
        <f aca="false">I620</f>
        <v>30.50442</v>
      </c>
      <c r="J630" s="37" t="n">
        <f aca="false">J620</f>
        <v>22.878315</v>
      </c>
      <c r="K630" s="37" t="n">
        <f aca="false">K620</f>
        <v>15.25221</v>
      </c>
      <c r="L630" s="37" t="n">
        <f aca="false">L620</f>
        <v>7.62610499999999</v>
      </c>
      <c r="M630" s="37" t="n">
        <f aca="false">M620</f>
        <v>0</v>
      </c>
    </row>
    <row r="631" customFormat="false" ht="15" hidden="false" customHeight="false" outlineLevel="0" collapsed="false">
      <c r="A631" s="9" t="s">
        <v>188</v>
      </c>
      <c r="B631" s="36" t="s">
        <v>55</v>
      </c>
      <c r="D631" s="38" t="n">
        <f aca="false">D629-D630</f>
        <v>3.39868499999999</v>
      </c>
      <c r="E631" s="38" t="n">
        <f aca="false">E629-E630</f>
        <v>36.20041</v>
      </c>
      <c r="F631" s="38" t="n">
        <f aca="false">F629-F630</f>
        <v>71.34682375</v>
      </c>
      <c r="G631" s="38" t="n">
        <f aca="false">G629-G630</f>
        <v>100.84473112</v>
      </c>
      <c r="H631" s="38" t="n">
        <f aca="false">H629-H630</f>
        <v>115.3817813248</v>
      </c>
      <c r="I631" s="38" t="n">
        <f aca="false">I629-I630</f>
        <v>141.761077757369</v>
      </c>
      <c r="J631" s="38" t="n">
        <f aca="false">J629-J630</f>
        <v>156.979284589128</v>
      </c>
      <c r="K631" s="38" t="n">
        <f aca="false">K629-K630</f>
        <v>172.423662786534</v>
      </c>
      <c r="L631" s="38" t="n">
        <f aca="false">L629-L630</f>
        <v>188.09886969021</v>
      </c>
      <c r="M631" s="38" t="n">
        <f aca="false">M629-M630</f>
        <v>204.009498625986</v>
      </c>
    </row>
    <row r="632" customFormat="false" ht="15" hidden="false" customHeight="false" outlineLevel="0" collapsed="false">
      <c r="A632" s="26" t="s">
        <v>189</v>
      </c>
      <c r="B632" s="36" t="s">
        <v>55</v>
      </c>
      <c r="D632" s="37" t="n">
        <f aca="false">0</f>
        <v>0</v>
      </c>
      <c r="E632" s="37" t="n">
        <f aca="false">D634</f>
        <v>0</v>
      </c>
      <c r="F632" s="37" t="n">
        <f aca="false">E634</f>
        <v>0</v>
      </c>
      <c r="G632" s="37" t="n">
        <f aca="false">F634</f>
        <v>0</v>
      </c>
      <c r="H632" s="37" t="n">
        <f aca="false">G634</f>
        <v>0</v>
      </c>
      <c r="I632" s="37" t="n">
        <f aca="false">H634</f>
        <v>0</v>
      </c>
      <c r="J632" s="37" t="n">
        <f aca="false">I634</f>
        <v>0</v>
      </c>
      <c r="K632" s="37" t="n">
        <f aca="false">J634</f>
        <v>0</v>
      </c>
      <c r="L632" s="37" t="n">
        <f aca="false">K634</f>
        <v>0</v>
      </c>
      <c r="M632" s="37" t="n">
        <f aca="false">L634</f>
        <v>0</v>
      </c>
    </row>
    <row r="633" customFormat="false" ht="15" hidden="false" customHeight="false" outlineLevel="0" collapsed="false">
      <c r="A633" s="26" t="s">
        <v>190</v>
      </c>
      <c r="B633" s="36" t="s">
        <v>55</v>
      </c>
      <c r="D633" s="37" t="n">
        <f aca="false">MAX(0,D631-D632)</f>
        <v>3.39868499999999</v>
      </c>
      <c r="E633" s="37" t="n">
        <f aca="false">MAX(0,E631-E632)</f>
        <v>36.20041</v>
      </c>
      <c r="F633" s="37" t="n">
        <f aca="false">MAX(0,F631-F632)</f>
        <v>71.34682375</v>
      </c>
      <c r="G633" s="37" t="n">
        <f aca="false">MAX(0,G631-G632)</f>
        <v>100.84473112</v>
      </c>
      <c r="H633" s="37" t="n">
        <f aca="false">MAX(0,H631-H632)</f>
        <v>115.3817813248</v>
      </c>
      <c r="I633" s="37" t="n">
        <f aca="false">MAX(0,I631-I632)</f>
        <v>141.761077757369</v>
      </c>
      <c r="J633" s="37" t="n">
        <f aca="false">MAX(0,J631-J632)</f>
        <v>156.979284589128</v>
      </c>
      <c r="K633" s="37" t="n">
        <f aca="false">MAX(0,K631-K632)</f>
        <v>172.423662786534</v>
      </c>
      <c r="L633" s="37" t="n">
        <f aca="false">MAX(0,L631-L632)</f>
        <v>188.09886969021</v>
      </c>
      <c r="M633" s="37" t="n">
        <f aca="false">MAX(0,M631-M632)</f>
        <v>204.009498625986</v>
      </c>
    </row>
    <row r="634" customFormat="false" ht="15" hidden="false" customHeight="false" outlineLevel="0" collapsed="false">
      <c r="A634" s="26" t="s">
        <v>191</v>
      </c>
      <c r="B634" s="36" t="s">
        <v>55</v>
      </c>
      <c r="D634" s="37" t="n">
        <f aca="false">MAX(0,D632-D631)</f>
        <v>0</v>
      </c>
      <c r="E634" s="37" t="n">
        <f aca="false">MAX(0,E632-E631)</f>
        <v>0</v>
      </c>
      <c r="F634" s="37" t="n">
        <f aca="false">MAX(0,F632-F631)</f>
        <v>0</v>
      </c>
      <c r="G634" s="37" t="n">
        <f aca="false">MAX(0,G632-G631)</f>
        <v>0</v>
      </c>
      <c r="H634" s="37" t="n">
        <f aca="false">MAX(0,H632-H631)</f>
        <v>0</v>
      </c>
      <c r="I634" s="37" t="n">
        <f aca="false">MAX(0,I632-I631)</f>
        <v>0</v>
      </c>
      <c r="J634" s="37" t="n">
        <f aca="false">MAX(0,J632-J631)</f>
        <v>0</v>
      </c>
      <c r="K634" s="37" t="n">
        <f aca="false">MAX(0,K632-K631)</f>
        <v>0</v>
      </c>
      <c r="L634" s="37" t="n">
        <f aca="false">MAX(0,L632-L631)</f>
        <v>0</v>
      </c>
      <c r="M634" s="37" t="n">
        <f aca="false">MAX(0,M632-M631)</f>
        <v>0</v>
      </c>
    </row>
    <row r="635" customFormat="false" ht="15" hidden="false" customHeight="false" outlineLevel="0" collapsed="false">
      <c r="A635" s="26" t="s">
        <v>192</v>
      </c>
      <c r="B635" s="36" t="s">
        <v>55</v>
      </c>
      <c r="D635" s="37" t="n">
        <f aca="false">D633*Inputs!$C$44</f>
        <v>0.855449014499998</v>
      </c>
      <c r="E635" s="37" t="n">
        <f aca="false">E633*Inputs!$C$44</f>
        <v>9.111643197</v>
      </c>
      <c r="F635" s="37" t="n">
        <f aca="false">F633*Inputs!$C$44</f>
        <v>17.957995537875</v>
      </c>
      <c r="G635" s="37" t="n">
        <f aca="false">G633*Inputs!$C$44</f>
        <v>25.382618822904</v>
      </c>
      <c r="H635" s="37" t="n">
        <f aca="false">H633*Inputs!$C$44</f>
        <v>29.0415943594522</v>
      </c>
      <c r="I635" s="37" t="n">
        <f aca="false">I633*Inputs!$C$44</f>
        <v>35.6812632715299</v>
      </c>
      <c r="J635" s="37" t="n">
        <f aca="false">J633*Inputs!$C$44</f>
        <v>39.5116859310836</v>
      </c>
      <c r="K635" s="37" t="n">
        <f aca="false">K633*Inputs!$C$44</f>
        <v>43.3990359233706</v>
      </c>
      <c r="L635" s="37" t="n">
        <f aca="false">L633*Inputs!$C$44</f>
        <v>47.3444855010258</v>
      </c>
      <c r="M635" s="37" t="n">
        <f aca="false">M633*Inputs!$C$44</f>
        <v>51.3491908041606</v>
      </c>
    </row>
    <row r="636" customFormat="false" ht="15" hidden="false" customHeight="false" outlineLevel="0" collapsed="false">
      <c r="A636" s="9" t="s">
        <v>193</v>
      </c>
      <c r="B636" s="36" t="s">
        <v>55</v>
      </c>
      <c r="D636" s="38" t="n">
        <f aca="false">D631-D635</f>
        <v>2.5432359855</v>
      </c>
      <c r="E636" s="38" t="n">
        <f aca="false">E631-E635</f>
        <v>27.088766803</v>
      </c>
      <c r="F636" s="38" t="n">
        <f aca="false">F631-F635</f>
        <v>53.388828212125</v>
      </c>
      <c r="G636" s="38" t="n">
        <f aca="false">G631-G635</f>
        <v>75.462112297096</v>
      </c>
      <c r="H636" s="38" t="n">
        <f aca="false">H631-H635</f>
        <v>86.3401869653478</v>
      </c>
      <c r="I636" s="38" t="n">
        <f aca="false">I631-I635</f>
        <v>106.079814485839</v>
      </c>
      <c r="J636" s="38" t="n">
        <f aca="false">J631-J635</f>
        <v>117.467598658045</v>
      </c>
      <c r="K636" s="38" t="n">
        <f aca="false">K631-K635</f>
        <v>129.024626863163</v>
      </c>
      <c r="L636" s="38" t="n">
        <f aca="false">L631-L635</f>
        <v>140.754384189184</v>
      </c>
      <c r="M636" s="38" t="n">
        <f aca="false">M631-M635</f>
        <v>152.660307821825</v>
      </c>
    </row>
    <row r="637" customFormat="false" ht="15" hidden="false" customHeight="false" outlineLevel="0" collapsed="false">
      <c r="A637" s="24" t="s">
        <v>297</v>
      </c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</row>
    <row r="638" customFormat="false" ht="15" hidden="false" customHeight="false" outlineLevel="0" collapsed="false">
      <c r="A638" s="26" t="s">
        <v>193</v>
      </c>
      <c r="B638" s="36" t="s">
        <v>55</v>
      </c>
      <c r="C638" s="37" t="n">
        <f aca="false">0</f>
        <v>0</v>
      </c>
      <c r="D638" s="37" t="n">
        <f aca="false">D636</f>
        <v>2.5432359855</v>
      </c>
      <c r="E638" s="37" t="n">
        <f aca="false">E636</f>
        <v>27.088766803</v>
      </c>
      <c r="F638" s="37" t="n">
        <f aca="false">F636</f>
        <v>53.388828212125</v>
      </c>
      <c r="G638" s="37" t="n">
        <f aca="false">G636</f>
        <v>75.462112297096</v>
      </c>
      <c r="H638" s="37" t="n">
        <f aca="false">H636</f>
        <v>86.3401869653478</v>
      </c>
      <c r="I638" s="37" t="n">
        <f aca="false">I636</f>
        <v>106.079814485839</v>
      </c>
      <c r="J638" s="37" t="n">
        <f aca="false">J636</f>
        <v>117.467598658045</v>
      </c>
      <c r="K638" s="37" t="n">
        <f aca="false">K636</f>
        <v>129.024626863163</v>
      </c>
      <c r="L638" s="37" t="n">
        <f aca="false">L636</f>
        <v>140.754384189184</v>
      </c>
      <c r="M638" s="37" t="n">
        <f aca="false">M636</f>
        <v>152.660307821825</v>
      </c>
    </row>
    <row r="639" customFormat="false" ht="15" hidden="false" customHeight="false" outlineLevel="0" collapsed="false">
      <c r="A639" s="26" t="s">
        <v>196</v>
      </c>
      <c r="B639" s="36" t="s">
        <v>55</v>
      </c>
      <c r="C639" s="37" t="n">
        <f aca="false">0</f>
        <v>0</v>
      </c>
      <c r="D639" s="37" t="n">
        <f aca="false">D609</f>
        <v>46.728</v>
      </c>
      <c r="E639" s="37" t="n">
        <f aca="false">E609</f>
        <v>46.728</v>
      </c>
      <c r="F639" s="37" t="n">
        <f aca="false">F609</f>
        <v>46.728</v>
      </c>
      <c r="G639" s="37" t="n">
        <f aca="false">G609</f>
        <v>46.728</v>
      </c>
      <c r="H639" s="37" t="n">
        <f aca="false">H609</f>
        <v>46.728</v>
      </c>
      <c r="I639" s="37" t="n">
        <f aca="false">I609</f>
        <v>41.888</v>
      </c>
      <c r="J639" s="37" t="n">
        <f aca="false">J609</f>
        <v>41.888</v>
      </c>
      <c r="K639" s="37" t="n">
        <f aca="false">K609</f>
        <v>41.888</v>
      </c>
      <c r="L639" s="37" t="n">
        <f aca="false">L609</f>
        <v>41.888</v>
      </c>
      <c r="M639" s="37" t="n">
        <f aca="false">M609</f>
        <v>41.888</v>
      </c>
    </row>
    <row r="640" customFormat="false" ht="15" hidden="false" customHeight="false" outlineLevel="0" collapsed="false">
      <c r="A640" s="26" t="s">
        <v>197</v>
      </c>
      <c r="B640" s="36" t="s">
        <v>55</v>
      </c>
      <c r="C640" s="37" t="n">
        <f aca="false">0</f>
        <v>0</v>
      </c>
      <c r="D640" s="37" t="n">
        <f aca="false">-(D613-C613)</f>
        <v>-22.3767123287671</v>
      </c>
      <c r="E640" s="37" t="n">
        <f aca="false">-(E613-D613)</f>
        <v>-5.12630136986302</v>
      </c>
      <c r="F640" s="37" t="n">
        <f aca="false">-(F613-E613)</f>
        <v>-5.50060273972603</v>
      </c>
      <c r="G640" s="37" t="n">
        <f aca="false">-(G613-F613)</f>
        <v>-3.60839539726027</v>
      </c>
      <c r="H640" s="37" t="n">
        <f aca="false">-(H613-G613)</f>
        <v>-1.46448047342466</v>
      </c>
      <c r="I640" s="37" t="n">
        <f aca="false">-(I613-H613)</f>
        <v>-2.51304849239672</v>
      </c>
      <c r="J640" s="37" t="n">
        <f aca="false">-(J613-I613)</f>
        <v>-1.62358163205752</v>
      </c>
      <c r="K640" s="37" t="n">
        <f aca="false">-(K613-J613)</f>
        <v>-1.68852489733982</v>
      </c>
      <c r="L640" s="37" t="n">
        <f aca="false">-(L613-K613)</f>
        <v>-1.75606589323341</v>
      </c>
      <c r="M640" s="37" t="n">
        <f aca="false">-(M613-L613)</f>
        <v>-1.82630852896274</v>
      </c>
    </row>
    <row r="641" customFormat="false" ht="15" hidden="false" customHeight="false" outlineLevel="0" collapsed="false">
      <c r="A641" s="26" t="s">
        <v>198</v>
      </c>
      <c r="B641" s="36" t="s">
        <v>55</v>
      </c>
      <c r="C641" s="37" t="n">
        <f aca="false">0</f>
        <v>0</v>
      </c>
      <c r="D641" s="37" t="n">
        <f aca="false">D614-C614</f>
        <v>6.41018465753425</v>
      </c>
      <c r="E641" s="37" t="n">
        <f aca="false">E614-D614</f>
        <v>0.72150205479452</v>
      </c>
      <c r="F641" s="37" t="n">
        <f aca="false">F614-E614</f>
        <v>0.778322157534247</v>
      </c>
      <c r="G641" s="37" t="n">
        <f aca="false">G614-F614</f>
        <v>0.607914544931508</v>
      </c>
      <c r="H641" s="37" t="n">
        <f aca="false">H614-G614</f>
        <v>0.408297422071234</v>
      </c>
      <c r="I641" s="37" t="n">
        <f aca="false">I614-H614</f>
        <v>0.531815680838687</v>
      </c>
      <c r="J641" s="37" t="n">
        <f aca="false">J614-I614</f>
        <v>0.458379384971401</v>
      </c>
      <c r="K641" s="37" t="n">
        <f aca="false">K614-J614</f>
        <v>0.483085467846156</v>
      </c>
      <c r="L641" s="37" t="n">
        <f aca="false">L614-K614</f>
        <v>0.509140576008749</v>
      </c>
      <c r="M641" s="37" t="n">
        <f aca="false">M614-L614</f>
        <v>0.536619243765273</v>
      </c>
    </row>
    <row r="642" customFormat="false" ht="15" hidden="false" customHeight="false" outlineLevel="0" collapsed="false">
      <c r="A642" s="9" t="s">
        <v>199</v>
      </c>
      <c r="B642" s="36" t="s">
        <v>55</v>
      </c>
      <c r="C642" s="38" t="n">
        <f aca="false">SUM(C638:C641)</f>
        <v>0</v>
      </c>
      <c r="D642" s="38" t="n">
        <f aca="false">SUM(D638:D641)</f>
        <v>33.3047083142671</v>
      </c>
      <c r="E642" s="38" t="n">
        <f aca="false">SUM(E638:E641)</f>
        <v>69.4119674879315</v>
      </c>
      <c r="F642" s="38" t="n">
        <f aca="false">SUM(F638:F641)</f>
        <v>95.3945476299332</v>
      </c>
      <c r="G642" s="38" t="n">
        <f aca="false">SUM(G638:G641)</f>
        <v>119.189631444767</v>
      </c>
      <c r="H642" s="38" t="n">
        <f aca="false">SUM(H638:H641)</f>
        <v>132.012003913994</v>
      </c>
      <c r="I642" s="38" t="n">
        <f aca="false">SUM(I638:I641)</f>
        <v>145.986581674281</v>
      </c>
      <c r="J642" s="38" t="n">
        <f aca="false">SUM(J638:J641)</f>
        <v>158.190396410959</v>
      </c>
      <c r="K642" s="38" t="n">
        <f aca="false">SUM(K638:K641)</f>
        <v>169.70718743367</v>
      </c>
      <c r="L642" s="38" t="n">
        <f aca="false">SUM(L638:L641)</f>
        <v>181.395458871959</v>
      </c>
      <c r="M642" s="38" t="n">
        <f aca="false">SUM(M638:M641)</f>
        <v>193.258618536628</v>
      </c>
    </row>
    <row r="643" customFormat="false" ht="15" hidden="false" customHeight="false" outlineLevel="0" collapsed="false">
      <c r="A643" s="26" t="s">
        <v>200</v>
      </c>
      <c r="B643" s="36" t="s">
        <v>55</v>
      </c>
      <c r="C643" s="37" t="n">
        <f aca="false">-C570</f>
        <v>-829.345</v>
      </c>
      <c r="D643" s="37" t="n">
        <f aca="false">0</f>
        <v>0</v>
      </c>
      <c r="E643" s="37" t="n">
        <f aca="false">0</f>
        <v>0</v>
      </c>
      <c r="F643" s="37" t="n">
        <f aca="false">0</f>
        <v>0</v>
      </c>
      <c r="G643" s="37" t="n">
        <f aca="false">0</f>
        <v>0</v>
      </c>
      <c r="H643" s="37" t="n">
        <f aca="false">0</f>
        <v>0</v>
      </c>
      <c r="I643" s="37" t="n">
        <f aca="false">0</f>
        <v>0</v>
      </c>
      <c r="J643" s="37" t="n">
        <f aca="false">0</f>
        <v>0</v>
      </c>
      <c r="K643" s="37" t="n">
        <f aca="false">0</f>
        <v>0</v>
      </c>
      <c r="L643" s="37" t="n">
        <f aca="false">0</f>
        <v>0</v>
      </c>
      <c r="M643" s="37" t="n">
        <f aca="false">0</f>
        <v>0</v>
      </c>
    </row>
    <row r="644" customFormat="false" ht="15" hidden="false" customHeight="false" outlineLevel="0" collapsed="false">
      <c r="A644" s="9" t="s">
        <v>201</v>
      </c>
      <c r="B644" s="36" t="s">
        <v>55</v>
      </c>
      <c r="C644" s="43" t="n">
        <f aca="false">C643</f>
        <v>-829.345</v>
      </c>
      <c r="D644" s="43" t="n">
        <f aca="false">D643</f>
        <v>0</v>
      </c>
      <c r="E644" s="43" t="n">
        <f aca="false">E643</f>
        <v>0</v>
      </c>
      <c r="F644" s="43" t="n">
        <f aca="false">F643</f>
        <v>0</v>
      </c>
      <c r="G644" s="43" t="n">
        <f aca="false">G643</f>
        <v>0</v>
      </c>
      <c r="H644" s="43" t="n">
        <f aca="false">H643</f>
        <v>0</v>
      </c>
      <c r="I644" s="43" t="n">
        <f aca="false">I643</f>
        <v>0</v>
      </c>
      <c r="J644" s="43" t="n">
        <f aca="false">J643</f>
        <v>0</v>
      </c>
      <c r="K644" s="43" t="n">
        <f aca="false">K643</f>
        <v>0</v>
      </c>
      <c r="L644" s="43" t="n">
        <f aca="false">L643</f>
        <v>0</v>
      </c>
      <c r="M644" s="43" t="n">
        <f aca="false">M643</f>
        <v>0</v>
      </c>
    </row>
    <row r="645" customFormat="false" ht="15" hidden="false" customHeight="false" outlineLevel="0" collapsed="false">
      <c r="A645" s="26" t="s">
        <v>202</v>
      </c>
      <c r="B645" s="36" t="s">
        <v>55</v>
      </c>
      <c r="C645" s="37" t="n">
        <f aca="false">C576</f>
        <v>338.938</v>
      </c>
      <c r="D645" s="37" t="n">
        <f aca="false">0</f>
        <v>0</v>
      </c>
      <c r="E645" s="37" t="n">
        <f aca="false">0</f>
        <v>0</v>
      </c>
      <c r="F645" s="37" t="n">
        <f aca="false">0</f>
        <v>0</v>
      </c>
      <c r="G645" s="37" t="n">
        <f aca="false">0</f>
        <v>0</v>
      </c>
      <c r="H645" s="37" t="n">
        <f aca="false">0</f>
        <v>0</v>
      </c>
      <c r="I645" s="37" t="n">
        <f aca="false">0</f>
        <v>0</v>
      </c>
      <c r="J645" s="37" t="n">
        <f aca="false">0</f>
        <v>0</v>
      </c>
      <c r="K645" s="37" t="n">
        <f aca="false">0</f>
        <v>0</v>
      </c>
      <c r="L645" s="37" t="n">
        <f aca="false">0</f>
        <v>0</v>
      </c>
      <c r="M645" s="37" t="n">
        <f aca="false">0</f>
        <v>0</v>
      </c>
    </row>
    <row r="646" customFormat="false" ht="15" hidden="false" customHeight="false" outlineLevel="0" collapsed="false">
      <c r="A646" s="26" t="s">
        <v>203</v>
      </c>
      <c r="B646" s="36" t="s">
        <v>55</v>
      </c>
      <c r="C646" s="37" t="n">
        <f aca="false">C618</f>
        <v>508.407</v>
      </c>
      <c r="D646" s="37" t="n">
        <f aca="false">D618</f>
        <v>0</v>
      </c>
      <c r="E646" s="37" t="n">
        <f aca="false">E618</f>
        <v>0</v>
      </c>
      <c r="F646" s="37" t="n">
        <f aca="false">F618</f>
        <v>0</v>
      </c>
      <c r="G646" s="37" t="n">
        <f aca="false">G618</f>
        <v>0</v>
      </c>
      <c r="H646" s="37" t="n">
        <f aca="false">H618</f>
        <v>0</v>
      </c>
      <c r="I646" s="37" t="n">
        <f aca="false">I618</f>
        <v>0</v>
      </c>
      <c r="J646" s="37" t="n">
        <f aca="false">J618</f>
        <v>0</v>
      </c>
      <c r="K646" s="37" t="n">
        <f aca="false">K618</f>
        <v>0</v>
      </c>
      <c r="L646" s="37" t="n">
        <f aca="false">L618</f>
        <v>0</v>
      </c>
      <c r="M646" s="37" t="n">
        <f aca="false">M618</f>
        <v>0</v>
      </c>
    </row>
    <row r="647" customFormat="false" ht="15" hidden="false" customHeight="false" outlineLevel="0" collapsed="false">
      <c r="A647" s="26" t="s">
        <v>204</v>
      </c>
      <c r="B647" s="36" t="s">
        <v>55</v>
      </c>
      <c r="C647" s="37" t="n">
        <f aca="false">-C621</f>
        <v>-0</v>
      </c>
      <c r="D647" s="37" t="n">
        <f aca="false">-D621</f>
        <v>-0</v>
      </c>
      <c r="E647" s="37" t="n">
        <f aca="false">-E621</f>
        <v>-0</v>
      </c>
      <c r="F647" s="37" t="n">
        <f aca="false">-F621</f>
        <v>-72.6295714285714</v>
      </c>
      <c r="G647" s="37" t="n">
        <f aca="false">-G621</f>
        <v>-72.6295714285714</v>
      </c>
      <c r="H647" s="37" t="n">
        <f aca="false">-H621</f>
        <v>-72.6295714285714</v>
      </c>
      <c r="I647" s="37" t="n">
        <f aca="false">-I621</f>
        <v>-72.6295714285714</v>
      </c>
      <c r="J647" s="37" t="n">
        <f aca="false">-J621</f>
        <v>-72.6295714285714</v>
      </c>
      <c r="K647" s="37" t="n">
        <f aca="false">-K621</f>
        <v>-72.6295714285714</v>
      </c>
      <c r="L647" s="37" t="n">
        <f aca="false">-L621</f>
        <v>-72.6295714285713</v>
      </c>
      <c r="M647" s="37" t="n">
        <f aca="false">-M621</f>
        <v>-0</v>
      </c>
    </row>
    <row r="648" customFormat="false" ht="15" hidden="false" customHeight="false" outlineLevel="0" collapsed="false">
      <c r="A648" s="9" t="s">
        <v>205</v>
      </c>
      <c r="B648" s="36" t="s">
        <v>55</v>
      </c>
      <c r="C648" s="38" t="n">
        <f aca="false">SUM(C645:C647)</f>
        <v>847.345</v>
      </c>
      <c r="D648" s="38" t="n">
        <f aca="false">SUM(D645:D647)</f>
        <v>0</v>
      </c>
      <c r="E648" s="38" t="n">
        <f aca="false">SUM(E645:E647)</f>
        <v>0</v>
      </c>
      <c r="F648" s="38" t="n">
        <f aca="false">SUM(F645:F647)</f>
        <v>-72.6295714285714</v>
      </c>
      <c r="G648" s="38" t="n">
        <f aca="false">SUM(G645:G647)</f>
        <v>-72.6295714285714</v>
      </c>
      <c r="H648" s="38" t="n">
        <f aca="false">SUM(H645:H647)</f>
        <v>-72.6295714285714</v>
      </c>
      <c r="I648" s="38" t="n">
        <f aca="false">SUM(I645:I647)</f>
        <v>-72.6295714285714</v>
      </c>
      <c r="J648" s="38" t="n">
        <f aca="false">SUM(J645:J647)</f>
        <v>-72.6295714285714</v>
      </c>
      <c r="K648" s="38" t="n">
        <f aca="false">SUM(K645:K647)</f>
        <v>-72.6295714285714</v>
      </c>
      <c r="L648" s="38" t="n">
        <f aca="false">SUM(L645:L647)</f>
        <v>-72.6295714285713</v>
      </c>
      <c r="M648" s="38" t="n">
        <f aca="false">SUM(M645:M647)</f>
        <v>0</v>
      </c>
    </row>
    <row r="649" customFormat="false" ht="15" hidden="false" customHeight="false" outlineLevel="0" collapsed="false">
      <c r="A649" s="9" t="s">
        <v>206</v>
      </c>
      <c r="B649" s="36" t="s">
        <v>55</v>
      </c>
      <c r="C649" s="43" t="n">
        <f aca="false">C642+C644+C648</f>
        <v>18</v>
      </c>
      <c r="D649" s="43" t="n">
        <f aca="false">D642+D644+D648</f>
        <v>33.3047083142671</v>
      </c>
      <c r="E649" s="43" t="n">
        <f aca="false">E642+E644+E648</f>
        <v>69.4119674879315</v>
      </c>
      <c r="F649" s="43" t="n">
        <f aca="false">F642+F644+F648</f>
        <v>22.7649762013618</v>
      </c>
      <c r="G649" s="43" t="n">
        <f aca="false">G642+G644+G648</f>
        <v>46.5600600161958</v>
      </c>
      <c r="H649" s="43" t="n">
        <f aca="false">H642+H644+H648</f>
        <v>59.382432485423</v>
      </c>
      <c r="I649" s="43" t="n">
        <f aca="false">I642+I644+I648</f>
        <v>73.35701024571</v>
      </c>
      <c r="J649" s="43" t="n">
        <f aca="false">J642+J644+J648</f>
        <v>85.5608249823871</v>
      </c>
      <c r="K649" s="43" t="n">
        <f aca="false">K642+K644+K648</f>
        <v>97.0776160050984</v>
      </c>
      <c r="L649" s="43" t="n">
        <f aca="false">L642+L644+L648</f>
        <v>108.765887443388</v>
      </c>
      <c r="M649" s="43" t="n">
        <f aca="false">M642+M644+M648</f>
        <v>193.258618536628</v>
      </c>
    </row>
    <row r="650" customFormat="false" ht="15" hidden="false" customHeight="false" outlineLevel="0" collapsed="false">
      <c r="A650" s="26" t="s">
        <v>207</v>
      </c>
      <c r="B650" s="36" t="s">
        <v>55</v>
      </c>
      <c r="C650" s="37" t="n">
        <f aca="false">0</f>
        <v>0</v>
      </c>
      <c r="D650" s="37" t="n">
        <f aca="false">C651</f>
        <v>18</v>
      </c>
      <c r="E650" s="37" t="n">
        <f aca="false">D651</f>
        <v>51.3047083142671</v>
      </c>
      <c r="F650" s="37" t="n">
        <f aca="false">E651</f>
        <v>120.716675802199</v>
      </c>
      <c r="G650" s="37" t="n">
        <f aca="false">F651</f>
        <v>143.48165200356</v>
      </c>
      <c r="H650" s="37" t="n">
        <f aca="false">G651</f>
        <v>190.041712019756</v>
      </c>
      <c r="I650" s="37" t="n">
        <f aca="false">H651</f>
        <v>249.424144505179</v>
      </c>
      <c r="J650" s="37" t="n">
        <f aca="false">I651</f>
        <v>322.781154750889</v>
      </c>
      <c r="K650" s="37" t="n">
        <f aca="false">J651</f>
        <v>408.341979733276</v>
      </c>
      <c r="L650" s="37" t="n">
        <f aca="false">K651</f>
        <v>505.419595738375</v>
      </c>
      <c r="M650" s="37" t="n">
        <f aca="false">L651</f>
        <v>614.185483181763</v>
      </c>
    </row>
    <row r="651" customFormat="false" ht="15" hidden="false" customHeight="false" outlineLevel="0" collapsed="false">
      <c r="A651" s="9" t="s">
        <v>28</v>
      </c>
      <c r="B651" s="36" t="s">
        <v>55</v>
      </c>
      <c r="C651" s="38" t="n">
        <f aca="false">C650+C649</f>
        <v>18</v>
      </c>
      <c r="D651" s="38" t="n">
        <f aca="false">D650+D649</f>
        <v>51.3047083142671</v>
      </c>
      <c r="E651" s="38" t="n">
        <f aca="false">E650+E649</f>
        <v>120.716675802199</v>
      </c>
      <c r="F651" s="38" t="n">
        <f aca="false">F650+F649</f>
        <v>143.48165200356</v>
      </c>
      <c r="G651" s="38" t="n">
        <f aca="false">G650+G649</f>
        <v>190.041712019756</v>
      </c>
      <c r="H651" s="38" t="n">
        <f aca="false">H650+H649</f>
        <v>249.424144505179</v>
      </c>
      <c r="I651" s="38" t="n">
        <f aca="false">I650+I649</f>
        <v>322.781154750889</v>
      </c>
      <c r="J651" s="38" t="n">
        <f aca="false">J650+J649</f>
        <v>408.341979733276</v>
      </c>
      <c r="K651" s="38" t="n">
        <f aca="false">K650+K649</f>
        <v>505.419595738375</v>
      </c>
      <c r="L651" s="38" t="n">
        <f aca="false">L650+L649</f>
        <v>614.185483181763</v>
      </c>
      <c r="M651" s="38" t="n">
        <f aca="false">M650+M649</f>
        <v>807.44410171839</v>
      </c>
    </row>
    <row r="652" customFormat="false" ht="15" hidden="false" customHeight="false" outlineLevel="0" collapsed="false">
      <c r="A652" s="24" t="s">
        <v>298</v>
      </c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</row>
    <row r="653" customFormat="false" ht="15" hidden="false" customHeight="false" outlineLevel="0" collapsed="false">
      <c r="A653" s="26" t="s">
        <v>210</v>
      </c>
      <c r="B653" s="36" t="s">
        <v>55</v>
      </c>
      <c r="C653" s="37" t="n">
        <f aca="false">C610</f>
        <v>829.345</v>
      </c>
      <c r="D653" s="37" t="n">
        <f aca="false">D610</f>
        <v>782.617</v>
      </c>
      <c r="E653" s="37" t="n">
        <f aca="false">E610</f>
        <v>735.889</v>
      </c>
      <c r="F653" s="37" t="n">
        <f aca="false">F610</f>
        <v>689.161</v>
      </c>
      <c r="G653" s="37" t="n">
        <f aca="false">G610</f>
        <v>642.433</v>
      </c>
      <c r="H653" s="37" t="n">
        <f aca="false">H610</f>
        <v>595.705</v>
      </c>
      <c r="I653" s="37" t="n">
        <f aca="false">I610</f>
        <v>553.817</v>
      </c>
      <c r="J653" s="37" t="n">
        <f aca="false">J610</f>
        <v>511.929</v>
      </c>
      <c r="K653" s="37" t="n">
        <f aca="false">K610</f>
        <v>470.041</v>
      </c>
      <c r="L653" s="37" t="n">
        <f aca="false">L610</f>
        <v>428.153</v>
      </c>
      <c r="M653" s="37" t="n">
        <f aca="false">M610</f>
        <v>386.265</v>
      </c>
    </row>
    <row r="654" customFormat="false" ht="15" hidden="false" customHeight="false" outlineLevel="0" collapsed="false">
      <c r="A654" s="26" t="s">
        <v>171</v>
      </c>
      <c r="B654" s="36" t="s">
        <v>55</v>
      </c>
      <c r="C654" s="37" t="n">
        <f aca="false">C613</f>
        <v>0</v>
      </c>
      <c r="D654" s="37" t="n">
        <f aca="false">D613</f>
        <v>22.3767123287671</v>
      </c>
      <c r="E654" s="37" t="n">
        <f aca="false">E613</f>
        <v>27.5030136986301</v>
      </c>
      <c r="F654" s="37" t="n">
        <f aca="false">F613</f>
        <v>33.0036164383562</v>
      </c>
      <c r="G654" s="37" t="n">
        <f aca="false">G613</f>
        <v>36.6120118356164</v>
      </c>
      <c r="H654" s="37" t="n">
        <f aca="false">H613</f>
        <v>38.0764923090411</v>
      </c>
      <c r="I654" s="37" t="n">
        <f aca="false">I613</f>
        <v>40.5895408014378</v>
      </c>
      <c r="J654" s="37" t="n">
        <f aca="false">J613</f>
        <v>42.2131224334953</v>
      </c>
      <c r="K654" s="37" t="n">
        <f aca="false">K613</f>
        <v>43.9016473308352</v>
      </c>
      <c r="L654" s="37" t="n">
        <f aca="false">L613</f>
        <v>45.6577132240686</v>
      </c>
      <c r="M654" s="37" t="n">
        <f aca="false">M613</f>
        <v>47.4840217530313</v>
      </c>
    </row>
    <row r="655" customFormat="false" ht="15" hidden="false" customHeight="false" outlineLevel="0" collapsed="false">
      <c r="A655" s="26" t="s">
        <v>211</v>
      </c>
      <c r="B655" s="36" t="s">
        <v>55</v>
      </c>
      <c r="C655" s="37" t="n">
        <f aca="false">C651</f>
        <v>18</v>
      </c>
      <c r="D655" s="37" t="n">
        <f aca="false">D651</f>
        <v>51.3047083142671</v>
      </c>
      <c r="E655" s="37" t="n">
        <f aca="false">E651</f>
        <v>120.716675802199</v>
      </c>
      <c r="F655" s="37" t="n">
        <f aca="false">F651</f>
        <v>143.48165200356</v>
      </c>
      <c r="G655" s="37" t="n">
        <f aca="false">G651</f>
        <v>190.041712019756</v>
      </c>
      <c r="H655" s="37" t="n">
        <f aca="false">H651</f>
        <v>249.424144505179</v>
      </c>
      <c r="I655" s="37" t="n">
        <f aca="false">I651</f>
        <v>322.781154750889</v>
      </c>
      <c r="J655" s="37" t="n">
        <f aca="false">J651</f>
        <v>408.341979733276</v>
      </c>
      <c r="K655" s="37" t="n">
        <f aca="false">K651</f>
        <v>505.419595738375</v>
      </c>
      <c r="L655" s="37" t="n">
        <f aca="false">L651</f>
        <v>614.185483181763</v>
      </c>
      <c r="M655" s="37" t="n">
        <f aca="false">M651</f>
        <v>807.44410171839</v>
      </c>
    </row>
    <row r="656" customFormat="false" ht="15" hidden="false" customHeight="false" outlineLevel="0" collapsed="false">
      <c r="A656" s="9" t="s">
        <v>212</v>
      </c>
      <c r="B656" s="36" t="s">
        <v>55</v>
      </c>
      <c r="C656" s="38" t="n">
        <f aca="false">SUM(C653:C655)</f>
        <v>847.345</v>
      </c>
      <c r="D656" s="38" t="n">
        <f aca="false">SUM(D653:D655)</f>
        <v>856.298420643034</v>
      </c>
      <c r="E656" s="38" t="n">
        <f aca="false">SUM(E653:E655)</f>
        <v>884.108689500829</v>
      </c>
      <c r="F656" s="38" t="n">
        <f aca="false">SUM(F653:F655)</f>
        <v>865.646268441917</v>
      </c>
      <c r="G656" s="38" t="n">
        <f aca="false">SUM(G653:G655)</f>
        <v>869.086723855373</v>
      </c>
      <c r="H656" s="38" t="n">
        <f aca="false">SUM(H653:H655)</f>
        <v>883.20563681422</v>
      </c>
      <c r="I656" s="38" t="n">
        <f aca="false">SUM(I653:I655)</f>
        <v>917.187695552327</v>
      </c>
      <c r="J656" s="38" t="n">
        <f aca="false">SUM(J653:J655)</f>
        <v>962.484102166771</v>
      </c>
      <c r="K656" s="38" t="n">
        <f aca="false">SUM(K653:K655)</f>
        <v>1019.36224306921</v>
      </c>
      <c r="L656" s="38" t="n">
        <f aca="false">SUM(L653:L655)</f>
        <v>1087.99619640583</v>
      </c>
      <c r="M656" s="38" t="n">
        <f aca="false">SUM(M653:M655)</f>
        <v>1241.19312347142</v>
      </c>
    </row>
    <row r="657" customFormat="false" ht="15" hidden="false" customHeight="false" outlineLevel="0" collapsed="false">
      <c r="A657" s="26" t="s">
        <v>213</v>
      </c>
      <c r="B657" s="36" t="s">
        <v>55</v>
      </c>
      <c r="C657" s="37" t="n">
        <f aca="false">C645</f>
        <v>338.938</v>
      </c>
      <c r="D657" s="37" t="n">
        <f aca="false">C657+D645</f>
        <v>338.938</v>
      </c>
      <c r="E657" s="37" t="n">
        <f aca="false">D657+E645</f>
        <v>338.938</v>
      </c>
      <c r="F657" s="37" t="n">
        <f aca="false">E657+F645</f>
        <v>338.938</v>
      </c>
      <c r="G657" s="37" t="n">
        <f aca="false">F657+G645</f>
        <v>338.938</v>
      </c>
      <c r="H657" s="37" t="n">
        <f aca="false">G657+H645</f>
        <v>338.938</v>
      </c>
      <c r="I657" s="37" t="n">
        <f aca="false">H657+I645</f>
        <v>338.938</v>
      </c>
      <c r="J657" s="37" t="n">
        <f aca="false">I657+J645</f>
        <v>338.938</v>
      </c>
      <c r="K657" s="37" t="n">
        <f aca="false">J657+K645</f>
        <v>338.938</v>
      </c>
      <c r="L657" s="37" t="n">
        <f aca="false">K657+L645</f>
        <v>338.938</v>
      </c>
      <c r="M657" s="37" t="n">
        <f aca="false">L657+M645</f>
        <v>338.938</v>
      </c>
    </row>
    <row r="658" customFormat="false" ht="15" hidden="false" customHeight="false" outlineLevel="0" collapsed="false">
      <c r="A658" s="26" t="s">
        <v>214</v>
      </c>
      <c r="B658" s="36" t="s">
        <v>55</v>
      </c>
      <c r="C658" s="37" t="n">
        <f aca="false">C638</f>
        <v>0</v>
      </c>
      <c r="D658" s="37" t="n">
        <f aca="false">C658+D638</f>
        <v>2.5432359855</v>
      </c>
      <c r="E658" s="37" t="n">
        <f aca="false">D658+E638</f>
        <v>29.6320027885</v>
      </c>
      <c r="F658" s="37" t="n">
        <f aca="false">E658+F638</f>
        <v>83.020831000625</v>
      </c>
      <c r="G658" s="37" t="n">
        <f aca="false">F658+G638</f>
        <v>158.482943297721</v>
      </c>
      <c r="H658" s="37" t="n">
        <f aca="false">G658+H638</f>
        <v>244.823130263069</v>
      </c>
      <c r="I658" s="37" t="n">
        <f aca="false">H658+I638</f>
        <v>350.902944748908</v>
      </c>
      <c r="J658" s="37" t="n">
        <f aca="false">I658+J638</f>
        <v>468.370543406953</v>
      </c>
      <c r="K658" s="37" t="n">
        <f aca="false">J658+K638</f>
        <v>597.395170270117</v>
      </c>
      <c r="L658" s="37" t="n">
        <f aca="false">K658+L638</f>
        <v>738.1495544593</v>
      </c>
      <c r="M658" s="37" t="n">
        <f aca="false">L658+M638</f>
        <v>890.809862281125</v>
      </c>
    </row>
    <row r="659" customFormat="false" ht="15" hidden="false" customHeight="false" outlineLevel="0" collapsed="false">
      <c r="A659" s="26" t="s">
        <v>17</v>
      </c>
      <c r="B659" s="36" t="s">
        <v>55</v>
      </c>
      <c r="C659" s="37" t="n">
        <f aca="false">C622</f>
        <v>508.407</v>
      </c>
      <c r="D659" s="37" t="n">
        <f aca="false">D622</f>
        <v>508.407</v>
      </c>
      <c r="E659" s="37" t="n">
        <f aca="false">E622</f>
        <v>508.407</v>
      </c>
      <c r="F659" s="37" t="n">
        <f aca="false">F622</f>
        <v>435.777428571429</v>
      </c>
      <c r="G659" s="37" t="n">
        <f aca="false">G622</f>
        <v>363.147857142857</v>
      </c>
      <c r="H659" s="37" t="n">
        <f aca="false">H622</f>
        <v>290.518285714286</v>
      </c>
      <c r="I659" s="37" t="n">
        <f aca="false">I622</f>
        <v>217.888714285714</v>
      </c>
      <c r="J659" s="37" t="n">
        <f aca="false">J622</f>
        <v>145.259142857143</v>
      </c>
      <c r="K659" s="37" t="n">
        <f aca="false">K622</f>
        <v>72.6295714285713</v>
      </c>
      <c r="L659" s="37" t="n">
        <f aca="false">L622</f>
        <v>0</v>
      </c>
      <c r="M659" s="37" t="n">
        <f aca="false">M622</f>
        <v>0</v>
      </c>
    </row>
    <row r="660" customFormat="false" ht="15" hidden="false" customHeight="false" outlineLevel="0" collapsed="false">
      <c r="A660" s="26" t="s">
        <v>172</v>
      </c>
      <c r="B660" s="36" t="s">
        <v>55</v>
      </c>
      <c r="C660" s="37" t="n">
        <f aca="false">C614</f>
        <v>0</v>
      </c>
      <c r="D660" s="37" t="n">
        <f aca="false">D614</f>
        <v>6.41018465753425</v>
      </c>
      <c r="E660" s="37" t="n">
        <f aca="false">E614</f>
        <v>7.13168671232877</v>
      </c>
      <c r="F660" s="37" t="n">
        <f aca="false">F614</f>
        <v>7.91000886986301</v>
      </c>
      <c r="G660" s="37" t="n">
        <f aca="false">G614</f>
        <v>8.51792341479452</v>
      </c>
      <c r="H660" s="37" t="n">
        <f aca="false">H614</f>
        <v>8.92622083686576</v>
      </c>
      <c r="I660" s="37" t="n">
        <f aca="false">I614</f>
        <v>9.45803651770444</v>
      </c>
      <c r="J660" s="37" t="n">
        <f aca="false">J614</f>
        <v>9.91641590267584</v>
      </c>
      <c r="K660" s="37" t="n">
        <f aca="false">K614</f>
        <v>10.399501370522</v>
      </c>
      <c r="L660" s="37" t="n">
        <f aca="false">L614</f>
        <v>10.9086419465307</v>
      </c>
      <c r="M660" s="37" t="n">
        <f aca="false">M614</f>
        <v>11.445261190296</v>
      </c>
    </row>
    <row r="661" customFormat="false" ht="15" hidden="false" customHeight="false" outlineLevel="0" collapsed="false">
      <c r="A661" s="9" t="s">
        <v>215</v>
      </c>
      <c r="B661" s="36" t="s">
        <v>55</v>
      </c>
      <c r="C661" s="38" t="n">
        <f aca="false">SUM(C657:C660)</f>
        <v>847.345</v>
      </c>
      <c r="D661" s="38" t="n">
        <f aca="false">SUM(D657:D660)</f>
        <v>856.298420643034</v>
      </c>
      <c r="E661" s="38" t="n">
        <f aca="false">SUM(E657:E660)</f>
        <v>884.108689500829</v>
      </c>
      <c r="F661" s="38" t="n">
        <f aca="false">SUM(F657:F660)</f>
        <v>865.646268441917</v>
      </c>
      <c r="G661" s="38" t="n">
        <f aca="false">SUM(G657:G660)</f>
        <v>869.086723855373</v>
      </c>
      <c r="H661" s="38" t="n">
        <f aca="false">SUM(H657:H660)</f>
        <v>883.20563681422</v>
      </c>
      <c r="I661" s="38" t="n">
        <f aca="false">SUM(I657:I660)</f>
        <v>917.187695552327</v>
      </c>
      <c r="J661" s="38" t="n">
        <f aca="false">SUM(J657:J660)</f>
        <v>962.484102166772</v>
      </c>
      <c r="K661" s="38" t="n">
        <f aca="false">SUM(K657:K660)</f>
        <v>1019.36224306921</v>
      </c>
      <c r="L661" s="38" t="n">
        <f aca="false">SUM(L657:L660)</f>
        <v>1087.99619640583</v>
      </c>
      <c r="M661" s="38" t="n">
        <f aca="false">SUM(M657:M660)</f>
        <v>1241.19312347142</v>
      </c>
    </row>
    <row r="662" customFormat="false" ht="15" hidden="false" customHeight="false" outlineLevel="0" collapsed="false">
      <c r="A662" s="26" t="s">
        <v>216</v>
      </c>
      <c r="B662" s="36" t="s">
        <v>55</v>
      </c>
      <c r="C662" s="37" t="n">
        <f aca="false">ROUND(C656-C661,6)</f>
        <v>0</v>
      </c>
      <c r="D662" s="37" t="n">
        <f aca="false">ROUND(D656-D661,6)</f>
        <v>0</v>
      </c>
      <c r="E662" s="37" t="n">
        <f aca="false">ROUND(E656-E661,6)</f>
        <v>0</v>
      </c>
      <c r="F662" s="37" t="n">
        <f aca="false">ROUND(F656-F661,6)</f>
        <v>0</v>
      </c>
      <c r="G662" s="37" t="n">
        <f aca="false">ROUND(G656-G661,6)</f>
        <v>0</v>
      </c>
      <c r="H662" s="37" t="n">
        <f aca="false">ROUND(H656-H661,6)</f>
        <v>0</v>
      </c>
      <c r="I662" s="37" t="n">
        <f aca="false">ROUND(I656-I661,6)</f>
        <v>0</v>
      </c>
      <c r="J662" s="37" t="n">
        <f aca="false">ROUND(J656-J661,6)</f>
        <v>0</v>
      </c>
      <c r="K662" s="37" t="n">
        <f aca="false">ROUND(K656-K661,6)</f>
        <v>0</v>
      </c>
      <c r="L662" s="37" t="n">
        <f aca="false">ROUND(L656-L661,6)</f>
        <v>0</v>
      </c>
      <c r="M662" s="37" t="n">
        <f aca="false">ROUND(M656-M661,6)</f>
        <v>0</v>
      </c>
    </row>
    <row r="663" customFormat="false" ht="15" hidden="false" customHeight="false" outlineLevel="0" collapsed="false">
      <c r="A663" s="24" t="s">
        <v>299</v>
      </c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</row>
    <row r="664" customFormat="false" ht="15" hidden="false" customHeight="false" outlineLevel="0" collapsed="false">
      <c r="A664" s="26" t="s">
        <v>219</v>
      </c>
      <c r="B664" s="36" t="s">
        <v>55</v>
      </c>
      <c r="D664" s="37" t="n">
        <f aca="false">D636+D609+D620</f>
        <v>102.6539709855</v>
      </c>
      <c r="E664" s="37" t="n">
        <f aca="false">E636+E609+E620</f>
        <v>127.199501803</v>
      </c>
      <c r="F664" s="37" t="n">
        <f aca="false">F636+F609+F620</f>
        <v>153.499563212125</v>
      </c>
      <c r="G664" s="37" t="n">
        <f aca="false">G636+G609+G620</f>
        <v>167.946742297096</v>
      </c>
      <c r="H664" s="37" t="n">
        <f aca="false">H636+H609+H620</f>
        <v>171.198711965348</v>
      </c>
      <c r="I664" s="37" t="n">
        <f aca="false">I636+I609+I620</f>
        <v>178.472234485839</v>
      </c>
      <c r="J664" s="37" t="n">
        <f aca="false">J636+J609+J620</f>
        <v>182.233913658045</v>
      </c>
      <c r="K664" s="37" t="n">
        <f aca="false">K636+K609+K620</f>
        <v>186.164836863163</v>
      </c>
      <c r="L664" s="37" t="n">
        <f aca="false">L636+L609+L620</f>
        <v>190.268489189184</v>
      </c>
      <c r="M664" s="37" t="n">
        <f aca="false">M636+M609+M620</f>
        <v>194.548307821825</v>
      </c>
    </row>
    <row r="665" customFormat="false" ht="15" hidden="false" customHeight="false" outlineLevel="0" collapsed="false">
      <c r="A665" s="26" t="s">
        <v>220</v>
      </c>
      <c r="B665" s="36" t="s">
        <v>55</v>
      </c>
      <c r="D665" s="37" t="n">
        <f aca="false">D620+D621</f>
        <v>53.382735</v>
      </c>
      <c r="E665" s="37" t="n">
        <f aca="false">E620+E621</f>
        <v>53.382735</v>
      </c>
      <c r="F665" s="37" t="n">
        <f aca="false">F620+F621</f>
        <v>126.012306428571</v>
      </c>
      <c r="G665" s="37" t="n">
        <f aca="false">G620+G621</f>
        <v>118.386201428571</v>
      </c>
      <c r="H665" s="37" t="n">
        <f aca="false">H620+H621</f>
        <v>110.760096428571</v>
      </c>
      <c r="I665" s="37" t="n">
        <f aca="false">I620+I621</f>
        <v>103.133991428571</v>
      </c>
      <c r="J665" s="37" t="n">
        <f aca="false">J620+J621</f>
        <v>95.5078864285714</v>
      </c>
      <c r="K665" s="37" t="n">
        <f aca="false">K620+K621</f>
        <v>87.8817814285714</v>
      </c>
      <c r="L665" s="37" t="n">
        <f aca="false">L620+L621</f>
        <v>80.2556764285713</v>
      </c>
      <c r="M665" s="37" t="n">
        <f aca="false">M620+M621</f>
        <v>0</v>
      </c>
    </row>
    <row r="666" customFormat="false" ht="15" hidden="false" customHeight="false" outlineLevel="0" collapsed="false">
      <c r="A666" s="26" t="s">
        <v>24</v>
      </c>
      <c r="B666" s="36" t="s">
        <v>104</v>
      </c>
      <c r="D666" s="39" t="n">
        <f aca="false">IF(D665&gt;0,D664/D665,"")</f>
        <v>1.9229807349792</v>
      </c>
      <c r="E666" s="39" t="n">
        <f aca="false">IF(E665&gt;0,E664/E665,"")</f>
        <v>2.38278353109858</v>
      </c>
      <c r="F666" s="39" t="n">
        <f aca="false">IF(F665&gt;0,F664/F665,"")</f>
        <v>1.21813152669445</v>
      </c>
      <c r="G666" s="39" t="n">
        <f aca="false">IF(G665&gt;0,G664/G665,"")</f>
        <v>1.41863443771719</v>
      </c>
      <c r="H666" s="39" t="n">
        <f aca="false">IF(H665&gt;0,H664/H665,"")</f>
        <v>1.54567138785179</v>
      </c>
      <c r="I666" s="39" t="n">
        <f aca="false">IF(I665&gt;0,I664/I665,"")</f>
        <v>1.73048896890067</v>
      </c>
      <c r="J666" s="39" t="n">
        <f aca="false">IF(J665&gt;0,J664/J665,"")</f>
        <v>1.90805095236124</v>
      </c>
      <c r="K666" s="39" t="n">
        <f aca="false">IF(K665&gt;0,K664/K665,"")</f>
        <v>2.11835529317842</v>
      </c>
      <c r="L666" s="39" t="n">
        <f aca="false">IF(L665&gt;0,L664/L665,"")</f>
        <v>2.37077921034689</v>
      </c>
      <c r="M666" s="39" t="str">
        <f aca="false">IF(M665&gt;0,M664/M665,"")</f>
        <v/>
      </c>
    </row>
    <row r="667" customFormat="false" ht="15" hidden="false" customHeight="false" outlineLevel="0" collapsed="false">
      <c r="A667" s="9" t="s">
        <v>221</v>
      </c>
      <c r="B667" s="36" t="s">
        <v>104</v>
      </c>
      <c r="C667" s="44" t="n">
        <f aca="false">MIN(D666:M666)</f>
        <v>1.21813152669445</v>
      </c>
    </row>
    <row r="668" customFormat="false" ht="15" hidden="false" customHeight="false" outlineLevel="0" collapsed="false">
      <c r="A668" s="9" t="s">
        <v>222</v>
      </c>
      <c r="B668" s="36" t="s">
        <v>104</v>
      </c>
      <c r="C668" s="44" t="n">
        <f aca="false">AVERAGE(D666:M666)</f>
        <v>1.84620844923649</v>
      </c>
    </row>
    <row r="670" customFormat="false" ht="15" hidden="false" customHeight="false" outlineLevel="0" collapsed="false">
      <c r="A670" s="24" t="s">
        <v>223</v>
      </c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</row>
    <row r="671" customFormat="false" ht="15" hidden="false" customHeight="false" outlineLevel="0" collapsed="false">
      <c r="A671" s="26" t="s">
        <v>224</v>
      </c>
      <c r="B671" s="36" t="s">
        <v>55</v>
      </c>
      <c r="D671" s="37" t="n">
        <f aca="false">MAX(0,D629)*Inputs!$C$44</f>
        <v>14.291883414</v>
      </c>
      <c r="E671" s="37" t="n">
        <f aca="false">MAX(0,E629)*Inputs!$C$44</f>
        <v>22.5480775965</v>
      </c>
      <c r="F671" s="37" t="n">
        <f aca="false">MAX(0,F629)*Inputs!$C$44</f>
        <v>31.394429937375</v>
      </c>
      <c r="G671" s="37" t="n">
        <f aca="false">MAX(0,G629)*Inputs!$C$44</f>
        <v>36.899562593904</v>
      </c>
      <c r="H671" s="37" t="n">
        <f aca="false">MAX(0,H629)*Inputs!$C$44</f>
        <v>38.6390475019522</v>
      </c>
      <c r="I671" s="37" t="n">
        <f aca="false">MAX(0,I629)*Inputs!$C$44</f>
        <v>43.3592257855299</v>
      </c>
      <c r="J671" s="37" t="n">
        <f aca="false">MAX(0,J629)*Inputs!$C$44</f>
        <v>45.2701578165836</v>
      </c>
      <c r="K671" s="37" t="n">
        <f aca="false">MAX(0,K629)*Inputs!$C$44</f>
        <v>47.2380171803706</v>
      </c>
      <c r="L671" s="37" t="n">
        <f aca="false">MAX(0,L629)*Inputs!$C$44</f>
        <v>49.2639761295258</v>
      </c>
      <c r="M671" s="37" t="n">
        <f aca="false">MAX(0,M629)*Inputs!$C$44</f>
        <v>51.3491908041606</v>
      </c>
    </row>
    <row r="672" customFormat="false" ht="15" hidden="false" customHeight="false" outlineLevel="0" collapsed="false">
      <c r="A672" s="26" t="s">
        <v>225</v>
      </c>
      <c r="B672" s="36" t="s">
        <v>55</v>
      </c>
      <c r="D672" s="37" t="n">
        <f aca="false">D615-C615</f>
        <v>15.9665276712329</v>
      </c>
      <c r="E672" s="37" t="n">
        <f aca="false">E615-D615</f>
        <v>4.40479931506849</v>
      </c>
      <c r="F672" s="37" t="n">
        <f aca="false">F615-E615</f>
        <v>4.72228058219179</v>
      </c>
      <c r="G672" s="37" t="n">
        <f aca="false">G615-F615</f>
        <v>3.00048085232876</v>
      </c>
      <c r="H672" s="37" t="n">
        <f aca="false">H615-G615</f>
        <v>1.05618305135343</v>
      </c>
      <c r="I672" s="37" t="n">
        <f aca="false">I615-H615</f>
        <v>1.98123281155803</v>
      </c>
      <c r="J672" s="37" t="n">
        <f aca="false">J615-I615</f>
        <v>1.16520224708611</v>
      </c>
      <c r="K672" s="37" t="n">
        <f aca="false">K615-J615</f>
        <v>1.20543942949366</v>
      </c>
      <c r="L672" s="37" t="n">
        <f aca="false">L615-K615</f>
        <v>1.24692531722466</v>
      </c>
      <c r="M672" s="37" t="n">
        <f aca="false">M615-L615</f>
        <v>1.28968928519747</v>
      </c>
    </row>
    <row r="673" customFormat="false" ht="15" hidden="false" customHeight="false" outlineLevel="0" collapsed="false">
      <c r="A673" s="26" t="s">
        <v>226</v>
      </c>
      <c r="B673" s="36" t="s">
        <v>55</v>
      </c>
      <c r="D673" s="37" t="n">
        <f aca="false">0</f>
        <v>0</v>
      </c>
      <c r="E673" s="37" t="n">
        <f aca="false">0</f>
        <v>0</v>
      </c>
      <c r="F673" s="37" t="n">
        <f aca="false">0</f>
        <v>0</v>
      </c>
      <c r="G673" s="37" t="n">
        <f aca="false">0</f>
        <v>0</v>
      </c>
      <c r="H673" s="37" t="n">
        <f aca="false">0</f>
        <v>0</v>
      </c>
      <c r="I673" s="37" t="n">
        <f aca="false">0</f>
        <v>0</v>
      </c>
      <c r="J673" s="37" t="n">
        <f aca="false">0</f>
        <v>0</v>
      </c>
      <c r="K673" s="37" t="n">
        <f aca="false">0</f>
        <v>0</v>
      </c>
      <c r="L673" s="37" t="n">
        <f aca="false">0</f>
        <v>0</v>
      </c>
      <c r="M673" s="37" t="n">
        <f aca="false">M610*Inputs!$C$52+M615</f>
        <v>229.171260562735</v>
      </c>
    </row>
    <row r="674" customFormat="false" ht="15" hidden="false" customHeight="false" outlineLevel="0" collapsed="false">
      <c r="A674" s="9" t="s">
        <v>227</v>
      </c>
      <c r="B674" s="36" t="s">
        <v>55</v>
      </c>
      <c r="C674" s="38" t="n">
        <f aca="false">-C570</f>
        <v>-829.345</v>
      </c>
      <c r="D674" s="38" t="n">
        <f aca="false">D603-D671-D672+D673</f>
        <v>73.2510089147671</v>
      </c>
      <c r="E674" s="38" t="n">
        <f aca="false">E603-E671-E672+E673</f>
        <v>109.358268088432</v>
      </c>
      <c r="F674" s="38" t="n">
        <f aca="false">F603-F671-F672+F673</f>
        <v>135.340848230433</v>
      </c>
      <c r="G674" s="38" t="n">
        <f aca="false">G603-G671-G672+G673</f>
        <v>153.429317673767</v>
      </c>
      <c r="H674" s="38" t="n">
        <f aca="false">H603-H671-H672+H673</f>
        <v>160.545075771494</v>
      </c>
      <c r="I674" s="38" t="n">
        <f aca="false">I603-I671-I672+I673</f>
        <v>168.813039160281</v>
      </c>
      <c r="J674" s="38" t="n">
        <f aca="false">J603-J671-J672+J673</f>
        <v>175.310239525459</v>
      </c>
      <c r="K674" s="38" t="n">
        <f aca="false">K603-K671-K672+K673</f>
        <v>181.12041617667</v>
      </c>
      <c r="L674" s="38" t="n">
        <f aca="false">L603-L671-L672+L673</f>
        <v>187.102073243459</v>
      </c>
      <c r="M674" s="38" t="n">
        <f aca="false">M603-M671-M672+M673</f>
        <v>422.429879099363</v>
      </c>
    </row>
    <row r="675" customFormat="false" ht="15" hidden="false" customHeight="false" outlineLevel="0" collapsed="false">
      <c r="A675" s="26" t="s">
        <v>228</v>
      </c>
      <c r="B675" s="36" t="s">
        <v>55</v>
      </c>
      <c r="C675" s="37" t="n">
        <f aca="false">C674</f>
        <v>-829.345</v>
      </c>
      <c r="D675" s="37" t="n">
        <f aca="false">C675+D674</f>
        <v>-756.093991085233</v>
      </c>
      <c r="E675" s="37" t="n">
        <f aca="false">D675+E674</f>
        <v>-646.735722996802</v>
      </c>
      <c r="F675" s="37" t="n">
        <f aca="false">E675+F674</f>
        <v>-511.394874766368</v>
      </c>
      <c r="G675" s="37" t="n">
        <f aca="false">F675+G674</f>
        <v>-357.965557092601</v>
      </c>
      <c r="H675" s="37" t="n">
        <f aca="false">G675+H674</f>
        <v>-197.420481321107</v>
      </c>
      <c r="I675" s="37" t="n">
        <f aca="false">H675+I674</f>
        <v>-28.6074421608252</v>
      </c>
      <c r="J675" s="37" t="n">
        <f aca="false">I675+J674</f>
        <v>146.702797364633</v>
      </c>
      <c r="K675" s="37" t="n">
        <f aca="false">J675+K674</f>
        <v>327.823213541303</v>
      </c>
      <c r="L675" s="37" t="n">
        <f aca="false">K675+L674</f>
        <v>514.925286784762</v>
      </c>
      <c r="M675" s="37" t="n">
        <f aca="false">L675+M674</f>
        <v>937.355165884125</v>
      </c>
    </row>
    <row r="676" customFormat="false" ht="15" hidden="false" customHeight="false" outlineLevel="0" collapsed="false">
      <c r="A676" s="26" t="s">
        <v>229</v>
      </c>
      <c r="B676" s="36" t="s">
        <v>55</v>
      </c>
      <c r="C676" s="37" t="n">
        <f aca="false">C674/(1+Inputs!$C$50)^Inputs!C$6</f>
        <v>-829.345</v>
      </c>
      <c r="D676" s="37" t="n">
        <f aca="false">D674/(1+Inputs!$C$50)^Inputs!D$6</f>
        <v>65.9918999232136</v>
      </c>
      <c r="E676" s="37" t="n">
        <f aca="false">E674/(1+Inputs!$C$50)^Inputs!E$6</f>
        <v>88.7576236412885</v>
      </c>
      <c r="F676" s="37" t="n">
        <f aca="false">F674/(1+Inputs!$C$50)^Inputs!F$6</f>
        <v>98.9600617640527</v>
      </c>
      <c r="G676" s="37" t="n">
        <f aca="false">G674/(1+Inputs!$C$50)^Inputs!G$6</f>
        <v>101.068643893643</v>
      </c>
      <c r="H676" s="37" t="n">
        <f aca="false">H674/(1+Inputs!$C$50)^Inputs!H$6</f>
        <v>95.2756884298553</v>
      </c>
      <c r="I676" s="37" t="n">
        <f aca="false">I674/(1+Inputs!$C$50)^Inputs!I$6</f>
        <v>90.2543443993428</v>
      </c>
      <c r="J676" s="37" t="n">
        <f aca="false">J674/(1+Inputs!$C$50)^Inputs!J$6</f>
        <v>84.4396513827184</v>
      </c>
      <c r="K676" s="37" t="n">
        <f aca="false">K674/(1+Inputs!$C$50)^Inputs!K$6</f>
        <v>78.5929475995817</v>
      </c>
      <c r="L676" s="37" t="n">
        <f aca="false">L674/(1+Inputs!$C$50)^Inputs!L$6</f>
        <v>73.1428352185855</v>
      </c>
      <c r="M676" s="37" t="n">
        <f aca="false">M674/(1+Inputs!$C$50)^Inputs!M$6</f>
        <v>148.77324678937</v>
      </c>
    </row>
    <row r="677" customFormat="false" ht="15" hidden="false" customHeight="false" outlineLevel="0" collapsed="false">
      <c r="A677" s="26" t="s">
        <v>230</v>
      </c>
      <c r="B677" s="36" t="s">
        <v>55</v>
      </c>
      <c r="C677" s="37" t="n">
        <f aca="false">C676</f>
        <v>-829.345</v>
      </c>
      <c r="D677" s="37" t="n">
        <f aca="false">C677+D676</f>
        <v>-763.353100076787</v>
      </c>
      <c r="E677" s="37" t="n">
        <f aca="false">D677+E676</f>
        <v>-674.595476435498</v>
      </c>
      <c r="F677" s="37" t="n">
        <f aca="false">E677+F676</f>
        <v>-575.635414671445</v>
      </c>
      <c r="G677" s="37" t="n">
        <f aca="false">F677+G676</f>
        <v>-474.566770777802</v>
      </c>
      <c r="H677" s="37" t="n">
        <f aca="false">G677+H676</f>
        <v>-379.291082347947</v>
      </c>
      <c r="I677" s="37" t="n">
        <f aca="false">H677+I676</f>
        <v>-289.036737948604</v>
      </c>
      <c r="J677" s="37" t="n">
        <f aca="false">I677+J676</f>
        <v>-204.597086565886</v>
      </c>
      <c r="K677" s="37" t="n">
        <f aca="false">J677+K676</f>
        <v>-126.004138966304</v>
      </c>
      <c r="L677" s="37" t="n">
        <f aca="false">K677+L676</f>
        <v>-52.8613037477183</v>
      </c>
      <c r="M677" s="37" t="n">
        <f aca="false">L677+M676</f>
        <v>95.9119430416518</v>
      </c>
    </row>
    <row r="678" customFormat="false" ht="15" hidden="false" customHeight="false" outlineLevel="0" collapsed="false">
      <c r="A678" s="26" t="s">
        <v>231</v>
      </c>
      <c r="B678" s="36" t="s">
        <v>69</v>
      </c>
      <c r="D678" s="45" t="str">
        <f aca="false">IF(AND(C675&lt;0,D675&gt;=0),Inputs!D$6-1+(-C675)/D674,"")</f>
        <v/>
      </c>
      <c r="E678" s="45" t="str">
        <f aca="false">IF(AND(D675&lt;0,E675&gt;=0),Inputs!E$6-1+(-D675)/E674,"")</f>
        <v/>
      </c>
      <c r="F678" s="45" t="str">
        <f aca="false">IF(AND(E675&lt;0,F675&gt;=0),Inputs!F$6-1+(-E675)/F674,"")</f>
        <v/>
      </c>
      <c r="G678" s="45" t="str">
        <f aca="false">IF(AND(F675&lt;0,G675&gt;=0),Inputs!G$6-1+(-F675)/G674,"")</f>
        <v/>
      </c>
      <c r="H678" s="45" t="str">
        <f aca="false">IF(AND(G675&lt;0,H675&gt;=0),Inputs!H$6-1+(-G675)/H674,"")</f>
        <v/>
      </c>
      <c r="I678" s="45" t="str">
        <f aca="false">IF(AND(H675&lt;0,I675&gt;=0),Inputs!I$6-1+(-H675)/I674,"")</f>
        <v/>
      </c>
      <c r="J678" s="45" t="n">
        <f aca="false">IF(AND(I675&lt;0,J675&gt;=0),Inputs!J$6-1+(-I675)/J674,"")</f>
        <v>6.16318180979195</v>
      </c>
      <c r="K678" s="45" t="str">
        <f aca="false">IF(AND(J675&lt;0,K675&gt;=0),Inputs!K$6-1+(-J675)/K674,"")</f>
        <v/>
      </c>
      <c r="L678" s="45" t="str">
        <f aca="false">IF(AND(K675&lt;0,L675&gt;=0),Inputs!L$6-1+(-K675)/L674,"")</f>
        <v/>
      </c>
      <c r="M678" s="45" t="str">
        <f aca="false">IF(AND(L675&lt;0,M675&gt;=0),Inputs!M$6-1+(-L675)/M674,"")</f>
        <v/>
      </c>
    </row>
    <row r="679" customFormat="false" ht="15" hidden="false" customHeight="false" outlineLevel="0" collapsed="false">
      <c r="A679" s="26" t="s">
        <v>232</v>
      </c>
      <c r="B679" s="36" t="s">
        <v>69</v>
      </c>
      <c r="D679" s="45" t="str">
        <f aca="false">IF(AND(C677&lt;0,D677&gt;=0),Inputs!D$6-1+(-C677)/D676,"")</f>
        <v/>
      </c>
      <c r="E679" s="45" t="str">
        <f aca="false">IF(AND(D677&lt;0,E677&gt;=0),Inputs!E$6-1+(-D677)/E676,"")</f>
        <v/>
      </c>
      <c r="F679" s="45" t="str">
        <f aca="false">IF(AND(E677&lt;0,F677&gt;=0),Inputs!F$6-1+(-E677)/F676,"")</f>
        <v/>
      </c>
      <c r="G679" s="45" t="str">
        <f aca="false">IF(AND(F677&lt;0,G677&gt;=0),Inputs!G$6-1+(-F677)/G676,"")</f>
        <v/>
      </c>
      <c r="H679" s="45" t="str">
        <f aca="false">IF(AND(G677&lt;0,H677&gt;=0),Inputs!H$6-1+(-G677)/H676,"")</f>
        <v/>
      </c>
      <c r="I679" s="45" t="str">
        <f aca="false">IF(AND(H677&lt;0,I677&gt;=0),Inputs!I$6-1+(-H677)/I676,"")</f>
        <v/>
      </c>
      <c r="J679" s="45" t="str">
        <f aca="false">IF(AND(I677&lt;0,J677&gt;=0),Inputs!J$6-1+(-I677)/J676,"")</f>
        <v/>
      </c>
      <c r="K679" s="45" t="str">
        <f aca="false">IF(AND(J677&lt;0,K677&gt;=0),Inputs!K$6-1+(-J677)/K676,"")</f>
        <v/>
      </c>
      <c r="L679" s="45" t="str">
        <f aca="false">IF(AND(K677&lt;0,L677&gt;=0),Inputs!L$6-1+(-K677)/L676,"")</f>
        <v/>
      </c>
      <c r="M679" s="45" t="n">
        <f aca="false">IF(AND(L677&lt;0,M677&gt;=0),Inputs!M$6-1+(-L677)/M676,"")</f>
        <v>9.35531458033283</v>
      </c>
    </row>
    <row r="680" customFormat="false" ht="15" hidden="false" customHeight="false" outlineLevel="0" collapsed="false">
      <c r="A680" s="9" t="s">
        <v>233</v>
      </c>
      <c r="B680" s="36" t="s">
        <v>55</v>
      </c>
      <c r="C680" s="43" t="n">
        <f aca="false">NPV(Inputs!$C$50,D674:M674)+C674</f>
        <v>95.9119430416519</v>
      </c>
    </row>
    <row r="681" customFormat="false" ht="15" hidden="false" customHeight="false" outlineLevel="0" collapsed="false">
      <c r="A681" s="9" t="s">
        <v>23</v>
      </c>
      <c r="B681" s="36" t="s">
        <v>62</v>
      </c>
      <c r="C681" s="46" t="n">
        <f aca="false">IRR(C674:M674)</f>
        <v>0.131604272620971</v>
      </c>
    </row>
    <row r="682" customFormat="false" ht="15" hidden="false" customHeight="false" outlineLevel="0" collapsed="false">
      <c r="A682" s="9" t="s">
        <v>234</v>
      </c>
      <c r="B682" s="36" t="s">
        <v>104</v>
      </c>
      <c r="C682" s="44" t="n">
        <f aca="false">SUMIF(C676:M676,"&gt;0")/-SUMIF(C676:M676,"&lt;0")</f>
        <v>1.11564782212668</v>
      </c>
    </row>
    <row r="683" customFormat="false" ht="15" hidden="false" customHeight="false" outlineLevel="0" collapsed="false">
      <c r="A683" s="9" t="s">
        <v>235</v>
      </c>
      <c r="B683" s="36" t="s">
        <v>69</v>
      </c>
      <c r="C683" s="47" t="n">
        <f aca="false">IF(COUNT(D678:M678)=0,"Beyond Year 10",MIN(D678:M678))</f>
        <v>6.16318180979195</v>
      </c>
    </row>
    <row r="684" customFormat="false" ht="15" hidden="false" customHeight="false" outlineLevel="0" collapsed="false">
      <c r="A684" s="9" t="s">
        <v>35</v>
      </c>
      <c r="B684" s="36" t="s">
        <v>69</v>
      </c>
      <c r="C684" s="47" t="n">
        <f aca="false">IF(COUNT(D679:M679)=0,"Beyond Year 10",MIN(D679:M679))</f>
        <v>9.35531458033283</v>
      </c>
    </row>
    <row r="686" customFormat="false" ht="15" hidden="false" customHeight="false" outlineLevel="0" collapsed="false">
      <c r="A686" s="24" t="s">
        <v>236</v>
      </c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</row>
    <row r="687" customFormat="false" ht="15" hidden="false" customHeight="false" outlineLevel="0" collapsed="false">
      <c r="A687" s="9" t="s">
        <v>237</v>
      </c>
      <c r="B687" s="36" t="s">
        <v>55</v>
      </c>
      <c r="C687" s="43" t="n">
        <f aca="false">-C576</f>
        <v>-338.938</v>
      </c>
      <c r="D687" s="43" t="n">
        <f aca="false">D642-D621</f>
        <v>33.3047083142671</v>
      </c>
      <c r="E687" s="43" t="n">
        <f aca="false">E642-E621</f>
        <v>69.4119674879315</v>
      </c>
      <c r="F687" s="43" t="n">
        <f aca="false">F642-F621</f>
        <v>22.7649762013618</v>
      </c>
      <c r="G687" s="43" t="n">
        <f aca="false">G642-G621</f>
        <v>46.5600600161958</v>
      </c>
      <c r="H687" s="43" t="n">
        <f aca="false">H642-H621</f>
        <v>59.382432485423</v>
      </c>
      <c r="I687" s="43" t="n">
        <f aca="false">I642-I621</f>
        <v>73.35701024571</v>
      </c>
      <c r="J687" s="43" t="n">
        <f aca="false">J642-J621</f>
        <v>85.5608249823871</v>
      </c>
      <c r="K687" s="43" t="n">
        <f aca="false">K642-K621</f>
        <v>97.0776160050984</v>
      </c>
      <c r="L687" s="43" t="n">
        <f aca="false">L642-L621</f>
        <v>108.765887443388</v>
      </c>
      <c r="M687" s="43" t="n">
        <f aca="false">M642-M621+C571+M610*Inputs!$C$52+M615</f>
        <v>440.429879099363</v>
      </c>
    </row>
    <row r="688" customFormat="false" ht="15" hidden="false" customHeight="false" outlineLevel="0" collapsed="false">
      <c r="A688" s="9" t="s">
        <v>238</v>
      </c>
      <c r="B688" s="36" t="s">
        <v>55</v>
      </c>
      <c r="C688" s="43" t="n">
        <f aca="false">NPV(Inputs!$C$51,D687:M687)+C687</f>
        <v>71.3561009672472</v>
      </c>
    </row>
    <row r="689" customFormat="false" ht="15" hidden="false" customHeight="false" outlineLevel="0" collapsed="false">
      <c r="A689" s="9" t="s">
        <v>27</v>
      </c>
      <c r="B689" s="36" t="s">
        <v>62</v>
      </c>
      <c r="C689" s="46" t="n">
        <f aca="false">IRR(C687:M687)</f>
        <v>0.175111237977085</v>
      </c>
    </row>
    <row r="691" customFormat="false" ht="15" hidden="false" customHeight="false" outlineLevel="0" collapsed="false">
      <c r="A691" s="24" t="s">
        <v>239</v>
      </c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</row>
    <row r="692" customFormat="false" ht="15" hidden="false" customHeight="false" outlineLevel="0" collapsed="false">
      <c r="A692" s="26" t="s">
        <v>240</v>
      </c>
      <c r="B692" s="36" t="s">
        <v>55</v>
      </c>
      <c r="D692" s="37" t="n">
        <f aca="false">D590-D601</f>
        <v>154.6325</v>
      </c>
      <c r="E692" s="37" t="n">
        <f aca="false">E590-E601</f>
        <v>189.804225</v>
      </c>
      <c r="F692" s="37" t="n">
        <f aca="false">F590-F601</f>
        <v>227.45833875</v>
      </c>
      <c r="G692" s="37" t="n">
        <f aca="false">G590-G601</f>
        <v>251.98357812</v>
      </c>
      <c r="H692" s="37" t="n">
        <f aca="false">H590-H601</f>
        <v>261.7022052948</v>
      </c>
      <c r="I692" s="37" t="n">
        <f aca="false">I590-I601</f>
        <v>278.586330303069</v>
      </c>
      <c r="J692" s="37" t="n">
        <f aca="false">J590-J601</f>
        <v>289.322151946945</v>
      </c>
      <c r="K692" s="37" t="n">
        <f aca="false">K590-K601</f>
        <v>300.467024878164</v>
      </c>
      <c r="L692" s="37" t="n">
        <f aca="false">L590-L601</f>
        <v>312.036292069298</v>
      </c>
      <c r="M692" s="37" t="n">
        <f aca="false">M590-M601</f>
        <v>324.045859257878</v>
      </c>
    </row>
    <row r="693" customFormat="false" ht="15" hidden="false" customHeight="false" outlineLevel="0" collapsed="false">
      <c r="A693" s="26" t="s">
        <v>241</v>
      </c>
      <c r="B693" s="36" t="s">
        <v>62</v>
      </c>
      <c r="D693" s="40" t="n">
        <f aca="false">D585*(D602+D609+D620)/D692</f>
        <v>0.537911488529255</v>
      </c>
      <c r="E693" s="40" t="n">
        <f aca="false">E585*(E602+E609+E620)/E692</f>
        <v>0.526028752784613</v>
      </c>
      <c r="F693" s="40" t="n">
        <f aca="false">F585*(F602+F609+F620)/F692</f>
        <v>0.514747610017001</v>
      </c>
      <c r="G693" s="40" t="n">
        <f aca="false">G585*(G602+G609+G620)/G692</f>
        <v>0.479837132650047</v>
      </c>
      <c r="H693" s="40" t="n">
        <f aca="false">H585*(H602+H609+H620)/H692</f>
        <v>0.447288317819636</v>
      </c>
      <c r="I693" s="40" t="n">
        <f aca="false">I585*(I602+I609+I620)/I692</f>
        <v>0.402735866348565</v>
      </c>
      <c r="J693" s="40" t="n">
        <f aca="false">J585*(J602+J609+J620)/J692</f>
        <v>0.375087598730809</v>
      </c>
      <c r="K693" s="40" t="n">
        <f aca="false">K585*(K602+K609+K620)/K692</f>
        <v>0.349441197275178</v>
      </c>
      <c r="L693" s="40" t="n">
        <f aca="false">L585*(L602+L609+L620)/L692</f>
        <v>0.325695083981714</v>
      </c>
      <c r="M693" s="40" t="n">
        <f aca="false">M585*(M602+M609+M620)/M692</f>
        <v>0.303752734083915</v>
      </c>
    </row>
    <row r="694" customFormat="false" ht="15" hidden="false" customHeight="false" outlineLevel="0" collapsed="false">
      <c r="A694" s="26" t="s">
        <v>242</v>
      </c>
      <c r="B694" s="36" t="s">
        <v>62</v>
      </c>
      <c r="D694" s="40" t="n">
        <f aca="false">D585*(D602+D620+D621)/D692</f>
        <v>0.371708394095679</v>
      </c>
      <c r="E694" s="40" t="n">
        <f aca="false">E585*(E602+E620+E621)/E692</f>
        <v>0.36600491769875</v>
      </c>
      <c r="F694" s="40" t="n">
        <f aca="false">F585*(F602+F620+F621)/F692</f>
        <v>0.600153045923134</v>
      </c>
      <c r="G694" s="40" t="n">
        <f aca="false">G585*(G602+G620+G621)/G692</f>
        <v>0.5620697023177</v>
      </c>
      <c r="H694" s="40" t="n">
        <f aca="false">H585*(H602+H620+H621)/H692</f>
        <v>0.526467081787311</v>
      </c>
      <c r="I694" s="40" t="n">
        <f aca="false">I585*(I602+I620+I621)/I692</f>
        <v>0.493221600318373</v>
      </c>
      <c r="J694" s="40" t="n">
        <f aca="false">J585*(J602+J620+J621)/J692</f>
        <v>0.462215695911737</v>
      </c>
      <c r="K694" s="40" t="n">
        <f aca="false">K585*(K602+K620+K621)/K692</f>
        <v>0.433337553561364</v>
      </c>
      <c r="L694" s="40" t="n">
        <f aca="false">L585*(L602+L620+L621)/L692</f>
        <v>0.406480842600555</v>
      </c>
      <c r="M694" s="40" t="n">
        <f aca="false">M585*(M602+M620+M621)/M692</f>
        <v>0.197754897608969</v>
      </c>
    </row>
    <row r="695" customFormat="false" ht="15" hidden="false" customHeight="false" outlineLevel="0" collapsed="false">
      <c r="A695" s="9" t="s">
        <v>243</v>
      </c>
      <c r="B695" s="36" t="s">
        <v>62</v>
      </c>
      <c r="C695" s="46" t="n">
        <f aca="false">INDEX(D693:M693,Inputs!$C$54)</f>
        <v>0.479837132650047</v>
      </c>
    </row>
    <row r="696" customFormat="false" ht="15" hidden="false" customHeight="false" outlineLevel="0" collapsed="false">
      <c r="A696" s="9" t="s">
        <v>244</v>
      </c>
      <c r="B696" s="36" t="s">
        <v>62</v>
      </c>
      <c r="C696" s="46" t="n">
        <f aca="false">INDEX(D694:M694,Inputs!$C$54)</f>
        <v>0.5620697023177</v>
      </c>
    </row>
    <row r="699" customFormat="false" ht="15" hidden="false" customHeight="false" outlineLevel="0" collapsed="false">
      <c r="A699" s="24" t="s">
        <v>300</v>
      </c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</row>
    <row r="700" customFormat="false" ht="15" hidden="false" customHeight="false" outlineLevel="0" collapsed="false">
      <c r="A700" s="26" t="s">
        <v>54</v>
      </c>
      <c r="B700" s="36" t="s">
        <v>55</v>
      </c>
      <c r="C700" s="37" t="n">
        <f aca="false">Inputs!$C$10*(1+Inputs!$F$65)</f>
        <v>40</v>
      </c>
    </row>
    <row r="701" customFormat="false" ht="15" hidden="false" customHeight="false" outlineLevel="0" collapsed="false">
      <c r="A701" s="26" t="s">
        <v>56</v>
      </c>
      <c r="B701" s="36" t="s">
        <v>55</v>
      </c>
      <c r="C701" s="37" t="n">
        <f aca="false">Inputs!$C$11*(1+Inputs!$F$65)</f>
        <v>230</v>
      </c>
    </row>
    <row r="702" customFormat="false" ht="15" hidden="false" customHeight="false" outlineLevel="0" collapsed="false">
      <c r="A702" s="26" t="s">
        <v>57</v>
      </c>
      <c r="B702" s="36" t="s">
        <v>55</v>
      </c>
      <c r="C702" s="37" t="n">
        <f aca="false">Inputs!$C$12*(1+Inputs!$F$65)</f>
        <v>250</v>
      </c>
    </row>
    <row r="703" customFormat="false" ht="15" hidden="false" customHeight="false" outlineLevel="0" collapsed="false">
      <c r="A703" s="26" t="s">
        <v>58</v>
      </c>
      <c r="B703" s="36" t="s">
        <v>55</v>
      </c>
      <c r="C703" s="37" t="n">
        <f aca="false">Inputs!$C$13*(1+Inputs!$F$65)</f>
        <v>95</v>
      </c>
    </row>
    <row r="704" customFormat="false" ht="15" hidden="false" customHeight="false" outlineLevel="0" collapsed="false">
      <c r="A704" s="26" t="s">
        <v>59</v>
      </c>
      <c r="B704" s="36" t="s">
        <v>55</v>
      </c>
      <c r="C704" s="37" t="n">
        <f aca="false">Inputs!$C$14*(1+Inputs!$F$65)</f>
        <v>48</v>
      </c>
    </row>
    <row r="705" customFormat="false" ht="15" hidden="false" customHeight="false" outlineLevel="0" collapsed="false">
      <c r="A705" s="26" t="s">
        <v>60</v>
      </c>
      <c r="B705" s="36" t="s">
        <v>55</v>
      </c>
      <c r="C705" s="37" t="n">
        <f aca="false">Inputs!$C$15*(1+Inputs!$F$65)</f>
        <v>36</v>
      </c>
    </row>
    <row r="706" customFormat="false" ht="15" hidden="false" customHeight="false" outlineLevel="0" collapsed="false">
      <c r="A706" s="9" t="s">
        <v>137</v>
      </c>
      <c r="B706" s="36" t="s">
        <v>55</v>
      </c>
      <c r="C706" s="38" t="n">
        <f aca="false">SUM(C701:C705)</f>
        <v>659</v>
      </c>
    </row>
    <row r="707" customFormat="false" ht="15" hidden="false" customHeight="false" outlineLevel="0" collapsed="false">
      <c r="A707" s="26" t="s">
        <v>138</v>
      </c>
      <c r="B707" s="36" t="s">
        <v>55</v>
      </c>
      <c r="C707" s="37" t="n">
        <f aca="false">C706*Inputs!$C$16</f>
        <v>32.95</v>
      </c>
    </row>
    <row r="708" customFormat="false" ht="15" hidden="false" customHeight="false" outlineLevel="0" collapsed="false">
      <c r="A708" s="26" t="s">
        <v>63</v>
      </c>
      <c r="B708" s="36" t="s">
        <v>55</v>
      </c>
      <c r="C708" s="37" t="n">
        <f aca="false">Inputs!$C$17*(1+Inputs!$F$65)</f>
        <v>22</v>
      </c>
    </row>
    <row r="709" customFormat="false" ht="15" hidden="false" customHeight="false" outlineLevel="0" collapsed="false">
      <c r="A709" s="9" t="s">
        <v>139</v>
      </c>
      <c r="B709" s="36" t="s">
        <v>55</v>
      </c>
      <c r="C709" s="38" t="n">
        <f aca="false">C700+C706+C707+C708</f>
        <v>753.95</v>
      </c>
    </row>
    <row r="710" customFormat="false" ht="15" hidden="false" customHeight="false" outlineLevel="0" collapsed="false">
      <c r="A710" s="26" t="s">
        <v>64</v>
      </c>
      <c r="B710" s="36" t="s">
        <v>55</v>
      </c>
      <c r="C710" s="37" t="n">
        <f aca="false">Inputs!$C$18</f>
        <v>18</v>
      </c>
    </row>
    <row r="711" customFormat="false" ht="15" hidden="false" customHeight="false" outlineLevel="0" collapsed="false">
      <c r="A711" s="9" t="s">
        <v>15</v>
      </c>
      <c r="B711" s="36" t="s">
        <v>55</v>
      </c>
      <c r="C711" s="38" t="n">
        <f aca="false">C709+C710</f>
        <v>771.95</v>
      </c>
    </row>
    <row r="713" customFormat="false" ht="15" hidden="false" customHeight="false" outlineLevel="0" collapsed="false">
      <c r="A713" s="24" t="s">
        <v>65</v>
      </c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</row>
    <row r="714" customFormat="false" ht="15" hidden="false" customHeight="false" outlineLevel="0" collapsed="false">
      <c r="A714" s="26" t="s">
        <v>17</v>
      </c>
      <c r="B714" s="36" t="s">
        <v>55</v>
      </c>
      <c r="C714" s="37" t="n">
        <f aca="false">C711*Inputs!$C$20</f>
        <v>463.17</v>
      </c>
    </row>
    <row r="715" customFormat="false" ht="15" hidden="false" customHeight="false" outlineLevel="0" collapsed="false">
      <c r="A715" s="26" t="s">
        <v>19</v>
      </c>
      <c r="B715" s="36" t="s">
        <v>55</v>
      </c>
      <c r="C715" s="37" t="n">
        <f aca="false">C711-C714</f>
        <v>308.78</v>
      </c>
    </row>
    <row r="716" customFormat="false" ht="15" hidden="false" customHeight="false" outlineLevel="0" collapsed="false">
      <c r="A716" s="9" t="s">
        <v>140</v>
      </c>
      <c r="B716" s="36" t="s">
        <v>55</v>
      </c>
      <c r="C716" s="38" t="n">
        <f aca="false">C714+C715</f>
        <v>771.95</v>
      </c>
    </row>
    <row r="717" customFormat="false" ht="15" hidden="false" customHeight="false" outlineLevel="0" collapsed="false">
      <c r="A717" s="26" t="s">
        <v>21</v>
      </c>
      <c r="B717" s="36" t="s">
        <v>104</v>
      </c>
      <c r="C717" s="39" t="n">
        <f aca="false">C714/C715</f>
        <v>1.5</v>
      </c>
    </row>
    <row r="719" customFormat="false" ht="15" hidden="false" customHeight="false" outlineLevel="0" collapsed="false">
      <c r="A719" s="24" t="s">
        <v>141</v>
      </c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</row>
    <row r="720" customFormat="false" ht="15" hidden="false" customHeight="false" outlineLevel="0" collapsed="false">
      <c r="A720" s="26" t="s">
        <v>142</v>
      </c>
      <c r="B720" s="36" t="s">
        <v>55</v>
      </c>
      <c r="C720" s="37" t="n">
        <f aca="false">C701*(1+Inputs!$C$16)</f>
        <v>241.5</v>
      </c>
    </row>
    <row r="721" customFormat="false" ht="15" hidden="false" customHeight="false" outlineLevel="0" collapsed="false">
      <c r="A721" s="26" t="s">
        <v>143</v>
      </c>
      <c r="B721" s="36" t="s">
        <v>55</v>
      </c>
      <c r="C721" s="37" t="n">
        <f aca="false">C702+C703+C704+C705</f>
        <v>429</v>
      </c>
    </row>
    <row r="722" customFormat="false" ht="15" hidden="false" customHeight="false" outlineLevel="0" collapsed="false">
      <c r="A722" s="26" t="s">
        <v>144</v>
      </c>
      <c r="B722" s="36" t="s">
        <v>55</v>
      </c>
      <c r="C722" s="37" t="n">
        <f aca="false">C721*(1+Inputs!$C$16)</f>
        <v>450.45</v>
      </c>
    </row>
    <row r="723" customFormat="false" ht="15" hidden="false" customHeight="false" outlineLevel="0" collapsed="false">
      <c r="A723" s="24" t="s">
        <v>301</v>
      </c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</row>
    <row r="724" customFormat="false" ht="15" hidden="false" customHeight="false" outlineLevel="0" collapsed="false">
      <c r="A724" s="26" t="s">
        <v>147</v>
      </c>
      <c r="B724" s="36" t="s">
        <v>62</v>
      </c>
      <c r="D724" s="40" t="n">
        <f aca="false">MAX(0,MIN(1,Inputs!D$56+Inputs!$D$65))</f>
        <v>0.55</v>
      </c>
      <c r="E724" s="40" t="n">
        <f aca="false">MAX(0,MIN(1,Inputs!E$56+Inputs!$D$65))</f>
        <v>0.65</v>
      </c>
      <c r="F724" s="40" t="n">
        <f aca="false">MAX(0,MIN(1,Inputs!F$56+Inputs!$D$65))</f>
        <v>0.75</v>
      </c>
      <c r="G724" s="40" t="n">
        <f aca="false">MAX(0,MIN(1,Inputs!G$56+Inputs!$D$65))</f>
        <v>0.8</v>
      </c>
      <c r="H724" s="40" t="n">
        <f aca="false">MAX(0,MIN(1,Inputs!H$56+Inputs!$D$65))</f>
        <v>0.8</v>
      </c>
      <c r="I724" s="40" t="n">
        <f aca="false">MAX(0,MIN(1,Inputs!I$56+Inputs!$D$65))</f>
        <v>0.82</v>
      </c>
      <c r="J724" s="40" t="n">
        <f aca="false">MAX(0,MIN(1,Inputs!J$56+Inputs!$D$65))</f>
        <v>0.82</v>
      </c>
      <c r="K724" s="40" t="n">
        <f aca="false">MAX(0,MIN(1,Inputs!K$56+Inputs!$D$65))</f>
        <v>0.82</v>
      </c>
      <c r="L724" s="40" t="n">
        <f aca="false">MAX(0,MIN(1,Inputs!L$56+Inputs!$D$65))</f>
        <v>0.82</v>
      </c>
      <c r="M724" s="40" t="n">
        <f aca="false">MAX(0,MIN(1,Inputs!M$56+Inputs!$D$65))</f>
        <v>0.82</v>
      </c>
    </row>
    <row r="725" customFormat="false" ht="15" hidden="false" customHeight="false" outlineLevel="0" collapsed="false">
      <c r="A725" s="26" t="s">
        <v>148</v>
      </c>
      <c r="B725" s="36" t="s">
        <v>72</v>
      </c>
      <c r="D725" s="41" t="n">
        <f aca="false">Inputs!$C$25*D724</f>
        <v>2750</v>
      </c>
      <c r="E725" s="41" t="n">
        <f aca="false">Inputs!$C$25*E724</f>
        <v>3250</v>
      </c>
      <c r="F725" s="41" t="n">
        <f aca="false">Inputs!$C$25*F724</f>
        <v>3750</v>
      </c>
      <c r="G725" s="41" t="n">
        <f aca="false">Inputs!$C$25*G724</f>
        <v>4000</v>
      </c>
      <c r="H725" s="41" t="n">
        <f aca="false">Inputs!$C$25*H724</f>
        <v>4000</v>
      </c>
      <c r="I725" s="41" t="n">
        <f aca="false">Inputs!$C$25*I724</f>
        <v>4100</v>
      </c>
      <c r="J725" s="41" t="n">
        <f aca="false">Inputs!$C$25*J724</f>
        <v>4100</v>
      </c>
      <c r="K725" s="41" t="n">
        <f aca="false">Inputs!$C$25*K724</f>
        <v>4100</v>
      </c>
      <c r="L725" s="41" t="n">
        <f aca="false">Inputs!$C$25*L724</f>
        <v>4100</v>
      </c>
      <c r="M725" s="41" t="n">
        <f aca="false">Inputs!$C$25*M724</f>
        <v>4100</v>
      </c>
    </row>
    <row r="726" customFormat="false" ht="15" hidden="false" customHeight="false" outlineLevel="0" collapsed="false">
      <c r="A726" s="26" t="s">
        <v>149</v>
      </c>
      <c r="B726" s="36" t="s">
        <v>74</v>
      </c>
      <c r="D726" s="42" t="n">
        <f aca="false">Inputs!$C$26*(1+Inputs!$C$27)^(Inputs!D$6-1)*(1+Inputs!$C$65)</f>
        <v>6000</v>
      </c>
      <c r="E726" s="42" t="n">
        <f aca="false">Inputs!$C$26*(1+Inputs!$C$27)^(Inputs!E$6-1)*(1+Inputs!$C$65)</f>
        <v>6240</v>
      </c>
      <c r="F726" s="42" t="n">
        <f aca="false">Inputs!$C$26*(1+Inputs!$C$27)^(Inputs!F$6-1)*(1+Inputs!$C$65)</f>
        <v>6489.6</v>
      </c>
      <c r="G726" s="42" t="n">
        <f aca="false">Inputs!$C$26*(1+Inputs!$C$27)^(Inputs!G$6-1)*(1+Inputs!$C$65)</f>
        <v>6749.184</v>
      </c>
      <c r="H726" s="42" t="n">
        <f aca="false">Inputs!$C$26*(1+Inputs!$C$27)^(Inputs!H$6-1)*(1+Inputs!$C$65)</f>
        <v>7019.15136</v>
      </c>
      <c r="I726" s="42" t="n">
        <f aca="false">Inputs!$C$26*(1+Inputs!$C$27)^(Inputs!I$6-1)*(1+Inputs!$C$65)</f>
        <v>7299.9174144</v>
      </c>
      <c r="J726" s="42" t="n">
        <f aca="false">Inputs!$C$26*(1+Inputs!$C$27)^(Inputs!J$6-1)*(1+Inputs!$C$65)</f>
        <v>7591.914110976</v>
      </c>
      <c r="K726" s="42" t="n">
        <f aca="false">Inputs!$C$26*(1+Inputs!$C$27)^(Inputs!K$6-1)*(1+Inputs!$C$65)</f>
        <v>7895.59067541504</v>
      </c>
      <c r="L726" s="42" t="n">
        <f aca="false">Inputs!$C$26*(1+Inputs!$C$27)^(Inputs!L$6-1)*(1+Inputs!$C$65)</f>
        <v>8211.41430243164</v>
      </c>
      <c r="M726" s="42" t="n">
        <f aca="false">Inputs!$C$26*(1+Inputs!$C$27)^(Inputs!M$6-1)*(1+Inputs!$C$65)</f>
        <v>8539.87087452891</v>
      </c>
    </row>
    <row r="727" customFormat="false" ht="15" hidden="false" customHeight="false" outlineLevel="0" collapsed="false">
      <c r="A727" s="26" t="s">
        <v>150</v>
      </c>
      <c r="B727" s="36" t="s">
        <v>55</v>
      </c>
      <c r="D727" s="37" t="n">
        <f aca="false">D725*D726/Inputs!$C$48</f>
        <v>165</v>
      </c>
      <c r="E727" s="37" t="n">
        <f aca="false">E725*E726/Inputs!$C$48</f>
        <v>202.8</v>
      </c>
      <c r="F727" s="37" t="n">
        <f aca="false">F725*F726/Inputs!$C$48</f>
        <v>243.36</v>
      </c>
      <c r="G727" s="37" t="n">
        <f aca="false">G725*G726/Inputs!$C$48</f>
        <v>269.96736</v>
      </c>
      <c r="H727" s="37" t="n">
        <f aca="false">H725*H726/Inputs!$C$48</f>
        <v>280.7660544</v>
      </c>
      <c r="I727" s="37" t="n">
        <f aca="false">I725*I726/Inputs!$C$48</f>
        <v>299.2966139904</v>
      </c>
      <c r="J727" s="37" t="n">
        <f aca="false">J725*J726/Inputs!$C$48</f>
        <v>311.268478550016</v>
      </c>
      <c r="K727" s="37" t="n">
        <f aca="false">K725*K726/Inputs!$C$48</f>
        <v>323.719217692017</v>
      </c>
      <c r="L727" s="37" t="n">
        <f aca="false">L725*L726/Inputs!$C$48</f>
        <v>336.667986399697</v>
      </c>
      <c r="M727" s="37" t="n">
        <f aca="false">M725*M726/Inputs!$C$48</f>
        <v>350.134705855685</v>
      </c>
    </row>
    <row r="728" customFormat="false" ht="15" hidden="false" customHeight="false" outlineLevel="0" collapsed="false">
      <c r="A728" s="26" t="s">
        <v>151</v>
      </c>
      <c r="B728" s="36" t="s">
        <v>55</v>
      </c>
      <c r="D728" s="37" t="n">
        <f aca="false">D727*Inputs!$C$28</f>
        <v>16.5</v>
      </c>
      <c r="E728" s="37" t="n">
        <f aca="false">E727*Inputs!$C$28</f>
        <v>20.28</v>
      </c>
      <c r="F728" s="37" t="n">
        <f aca="false">F727*Inputs!$C$28</f>
        <v>24.336</v>
      </c>
      <c r="G728" s="37" t="n">
        <f aca="false">G727*Inputs!$C$28</f>
        <v>26.996736</v>
      </c>
      <c r="H728" s="37" t="n">
        <f aca="false">H727*Inputs!$C$28</f>
        <v>28.07660544</v>
      </c>
      <c r="I728" s="37" t="n">
        <f aca="false">I727*Inputs!$C$28</f>
        <v>29.92966139904</v>
      </c>
      <c r="J728" s="37" t="n">
        <f aca="false">J727*Inputs!$C$28</f>
        <v>31.1268478550016</v>
      </c>
      <c r="K728" s="37" t="n">
        <f aca="false">K727*Inputs!$C$28</f>
        <v>32.3719217692017</v>
      </c>
      <c r="L728" s="37" t="n">
        <f aca="false">L727*Inputs!$C$28</f>
        <v>33.6667986399697</v>
      </c>
      <c r="M728" s="37" t="n">
        <f aca="false">M727*Inputs!$C$28</f>
        <v>35.0134705855685</v>
      </c>
    </row>
    <row r="729" customFormat="false" ht="15" hidden="false" customHeight="false" outlineLevel="0" collapsed="false">
      <c r="A729" s="9" t="s">
        <v>152</v>
      </c>
      <c r="B729" s="36" t="s">
        <v>55</v>
      </c>
      <c r="D729" s="38" t="n">
        <f aca="false">D727+D728</f>
        <v>181.5</v>
      </c>
      <c r="E729" s="38" t="n">
        <f aca="false">E727+E728</f>
        <v>223.08</v>
      </c>
      <c r="F729" s="38" t="n">
        <f aca="false">F727+F728</f>
        <v>267.696</v>
      </c>
      <c r="G729" s="38" t="n">
        <f aca="false">G727+G728</f>
        <v>296.964096</v>
      </c>
      <c r="H729" s="38" t="n">
        <f aca="false">H727+H728</f>
        <v>308.84265984</v>
      </c>
      <c r="I729" s="38" t="n">
        <f aca="false">I727+I728</f>
        <v>329.22627538944</v>
      </c>
      <c r="J729" s="38" t="n">
        <f aca="false">J727+J728</f>
        <v>342.395326405018</v>
      </c>
      <c r="K729" s="38" t="n">
        <f aca="false">K727+K728</f>
        <v>356.091139461218</v>
      </c>
      <c r="L729" s="38" t="n">
        <f aca="false">L727+L728</f>
        <v>370.334785039667</v>
      </c>
      <c r="M729" s="38" t="n">
        <f aca="false">M727+M728</f>
        <v>385.148176441254</v>
      </c>
    </row>
    <row r="731" customFormat="false" ht="15" hidden="false" customHeight="false" outlineLevel="0" collapsed="false">
      <c r="A731" s="24" t="s">
        <v>153</v>
      </c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</row>
    <row r="732" customFormat="false" ht="15" hidden="false" customHeight="false" outlineLevel="0" collapsed="false">
      <c r="A732" s="26" t="s">
        <v>154</v>
      </c>
      <c r="B732" s="36" t="s">
        <v>55</v>
      </c>
      <c r="D732" s="37" t="n">
        <f aca="false">D725*Inputs!$C$30*(1+Inputs!$C$31)^(Inputs!D$6-1)/Inputs!$C$48*(1+Inputs!$E$65)</f>
        <v>26.125</v>
      </c>
      <c r="E732" s="37" t="n">
        <f aca="false">E725*Inputs!$C$30*(1+Inputs!$C$31)^(Inputs!E$6-1)/Inputs!$C$48*(1+Inputs!$E$65)</f>
        <v>32.41875</v>
      </c>
      <c r="F732" s="37" t="n">
        <f aca="false">F725*Inputs!$C$30*(1+Inputs!$C$31)^(Inputs!F$6-1)/Inputs!$C$48*(1+Inputs!$E$65)</f>
        <v>39.2765625</v>
      </c>
      <c r="G732" s="37" t="n">
        <f aca="false">G725*Inputs!$C$30*(1+Inputs!$C$31)^(Inputs!G$6-1)/Inputs!$C$48*(1+Inputs!$E$65)</f>
        <v>43.98975</v>
      </c>
      <c r="H732" s="37" t="n">
        <f aca="false">H725*Inputs!$C$30*(1+Inputs!$C$31)^(Inputs!H$6-1)/Inputs!$C$48*(1+Inputs!$E$65)</f>
        <v>46.1892375</v>
      </c>
      <c r="I732" s="37" t="n">
        <f aca="false">I725*Inputs!$C$30*(1+Inputs!$C$31)^(Inputs!I$6-1)/Inputs!$C$48*(1+Inputs!$E$65)</f>
        <v>49.711166859375</v>
      </c>
      <c r="J732" s="37" t="n">
        <f aca="false">J725*Inputs!$C$30*(1+Inputs!$C$31)^(Inputs!J$6-1)/Inputs!$C$48*(1+Inputs!$E$65)</f>
        <v>52.1967252023438</v>
      </c>
      <c r="K732" s="37" t="n">
        <f aca="false">K725*Inputs!$C$30*(1+Inputs!$C$31)^(Inputs!K$6-1)/Inputs!$C$48*(1+Inputs!$E$65)</f>
        <v>54.806561462461</v>
      </c>
      <c r="L732" s="37" t="n">
        <f aca="false">L725*Inputs!$C$30*(1+Inputs!$C$31)^(Inputs!L$6-1)/Inputs!$C$48*(1+Inputs!$E$65)</f>
        <v>57.546889535584</v>
      </c>
      <c r="M732" s="37" t="n">
        <f aca="false">M725*Inputs!$C$30*(1+Inputs!$C$31)^(Inputs!M$6-1)/Inputs!$C$48*(1+Inputs!$E$65)</f>
        <v>60.4242340123632</v>
      </c>
    </row>
    <row r="733" customFormat="false" ht="15" hidden="false" customHeight="false" outlineLevel="0" collapsed="false">
      <c r="A733" s="26" t="s">
        <v>155</v>
      </c>
      <c r="B733" s="36" t="s">
        <v>55</v>
      </c>
      <c r="D733" s="37" t="n">
        <f aca="false">-D732*Inputs!$C$32</f>
        <v>-4.7025</v>
      </c>
      <c r="E733" s="37" t="n">
        <f aca="false">-E732*Inputs!$C$32</f>
        <v>-5.835375</v>
      </c>
      <c r="F733" s="37" t="n">
        <f aca="false">-F732*Inputs!$C$32</f>
        <v>-7.06978125</v>
      </c>
      <c r="G733" s="37" t="n">
        <f aca="false">-G732*Inputs!$C$32</f>
        <v>-7.918155</v>
      </c>
      <c r="H733" s="37" t="n">
        <f aca="false">-H732*Inputs!$C$32</f>
        <v>-8.31406275</v>
      </c>
      <c r="I733" s="37" t="n">
        <f aca="false">-I732*Inputs!$C$32</f>
        <v>-8.9480100346875</v>
      </c>
      <c r="J733" s="37" t="n">
        <f aca="false">-J732*Inputs!$C$32</f>
        <v>-9.39541053642188</v>
      </c>
      <c r="K733" s="37" t="n">
        <f aca="false">-K732*Inputs!$C$32</f>
        <v>-9.86518106324297</v>
      </c>
      <c r="L733" s="37" t="n">
        <f aca="false">-L732*Inputs!$C$32</f>
        <v>-10.3584401164051</v>
      </c>
      <c r="M733" s="37" t="n">
        <f aca="false">-M732*Inputs!$C$32</f>
        <v>-10.8763621222254</v>
      </c>
    </row>
    <row r="734" customFormat="false" ht="15" hidden="false" customHeight="false" outlineLevel="0" collapsed="false">
      <c r="A734" s="26" t="s">
        <v>156</v>
      </c>
      <c r="B734" s="36" t="s">
        <v>55</v>
      </c>
      <c r="D734" s="37" t="n">
        <f aca="false">D729*Inputs!$C$33*(1+Inputs!$E$65)</f>
        <v>5.445</v>
      </c>
      <c r="E734" s="37" t="n">
        <f aca="false">E729*Inputs!$C$33*(1+Inputs!$E$65)</f>
        <v>6.6924</v>
      </c>
      <c r="F734" s="37" t="n">
        <f aca="false">F729*Inputs!$C$33*(1+Inputs!$E$65)</f>
        <v>8.03088</v>
      </c>
      <c r="G734" s="37" t="n">
        <f aca="false">G729*Inputs!$C$33*(1+Inputs!$E$65)</f>
        <v>8.90892288</v>
      </c>
      <c r="H734" s="37" t="n">
        <f aca="false">H729*Inputs!$C$33*(1+Inputs!$E$65)</f>
        <v>9.2652797952</v>
      </c>
      <c r="I734" s="37" t="n">
        <f aca="false">I729*Inputs!$C$33*(1+Inputs!$E$65)</f>
        <v>9.8767882616832</v>
      </c>
      <c r="J734" s="37" t="n">
        <f aca="false">J729*Inputs!$C$33*(1+Inputs!$E$65)</f>
        <v>10.2718597921505</v>
      </c>
      <c r="K734" s="37" t="n">
        <f aca="false">K729*Inputs!$C$33*(1+Inputs!$E$65)</f>
        <v>10.6827341838366</v>
      </c>
      <c r="L734" s="37" t="n">
        <f aca="false">L729*Inputs!$C$33*(1+Inputs!$E$65)</f>
        <v>11.11004355119</v>
      </c>
      <c r="M734" s="37" t="n">
        <f aca="false">M729*Inputs!$C$33*(1+Inputs!$E$65)</f>
        <v>11.5544452932376</v>
      </c>
    </row>
    <row r="735" customFormat="false" ht="15" hidden="false" customHeight="false" outlineLevel="0" collapsed="false">
      <c r="A735" s="26" t="s">
        <v>157</v>
      </c>
      <c r="B735" s="36" t="s">
        <v>55</v>
      </c>
      <c r="D735" s="37" t="n">
        <f aca="false">Inputs!$C$34*(1+Inputs!$C$35)^(Inputs!D$6-1)*(1+Inputs!$E$65)</f>
        <v>32</v>
      </c>
      <c r="E735" s="37" t="n">
        <f aca="false">Inputs!$C$34*(1+Inputs!$C$35)^(Inputs!E$6-1)*(1+Inputs!$E$65)</f>
        <v>33.92</v>
      </c>
      <c r="F735" s="37" t="n">
        <f aca="false">Inputs!$C$34*(1+Inputs!$C$35)^(Inputs!F$6-1)*(1+Inputs!$E$65)</f>
        <v>35.9552</v>
      </c>
      <c r="G735" s="37" t="n">
        <f aca="false">Inputs!$C$34*(1+Inputs!$C$35)^(Inputs!G$6-1)*(1+Inputs!$E$65)</f>
        <v>38.112512</v>
      </c>
      <c r="H735" s="37" t="n">
        <f aca="false">Inputs!$C$34*(1+Inputs!$C$35)^(Inputs!H$6-1)*(1+Inputs!$E$65)</f>
        <v>40.39926272</v>
      </c>
      <c r="I735" s="37" t="n">
        <f aca="false">Inputs!$C$34*(1+Inputs!$C$35)^(Inputs!I$6-1)*(1+Inputs!$E$65)</f>
        <v>42.8232184832</v>
      </c>
      <c r="J735" s="37" t="n">
        <f aca="false">Inputs!$C$34*(1+Inputs!$C$35)^(Inputs!J$6-1)*(1+Inputs!$E$65)</f>
        <v>45.392611592192</v>
      </c>
      <c r="K735" s="37" t="n">
        <f aca="false">Inputs!$C$34*(1+Inputs!$C$35)^(Inputs!K$6-1)*(1+Inputs!$E$65)</f>
        <v>48.1161682877235</v>
      </c>
      <c r="L735" s="37" t="n">
        <f aca="false">Inputs!$C$34*(1+Inputs!$C$35)^(Inputs!L$6-1)*(1+Inputs!$E$65)</f>
        <v>51.003138384987</v>
      </c>
      <c r="M735" s="37" t="n">
        <f aca="false">Inputs!$C$34*(1+Inputs!$C$35)^(Inputs!M$6-1)*(1+Inputs!$E$65)</f>
        <v>54.0633266880862</v>
      </c>
    </row>
    <row r="736" customFormat="false" ht="15" hidden="false" customHeight="false" outlineLevel="0" collapsed="false">
      <c r="A736" s="26" t="s">
        <v>158</v>
      </c>
      <c r="B736" s="36" t="s">
        <v>55</v>
      </c>
      <c r="D736" s="37" t="n">
        <f aca="false">$C$721*Inputs!$C$36*(1+Inputs!$E$65)</f>
        <v>6.435</v>
      </c>
      <c r="E736" s="37" t="n">
        <f aca="false">$C$721*Inputs!$C$36*(1+Inputs!$E$65)</f>
        <v>6.435</v>
      </c>
      <c r="F736" s="37" t="n">
        <f aca="false">$C$721*Inputs!$C$36*(1+Inputs!$E$65)</f>
        <v>6.435</v>
      </c>
      <c r="G736" s="37" t="n">
        <f aca="false">$C$721*Inputs!$C$36*(1+Inputs!$E$65)</f>
        <v>6.435</v>
      </c>
      <c r="H736" s="37" t="n">
        <f aca="false">$C$721*Inputs!$C$36*(1+Inputs!$E$65)</f>
        <v>6.435</v>
      </c>
      <c r="I736" s="37" t="n">
        <f aca="false">$C$721*Inputs!$C$36*(1+Inputs!$E$65)</f>
        <v>6.435</v>
      </c>
      <c r="J736" s="37" t="n">
        <f aca="false">$C$721*Inputs!$C$36*(1+Inputs!$E$65)</f>
        <v>6.435</v>
      </c>
      <c r="K736" s="37" t="n">
        <f aca="false">$C$721*Inputs!$C$36*(1+Inputs!$E$65)</f>
        <v>6.435</v>
      </c>
      <c r="L736" s="37" t="n">
        <f aca="false">$C$721*Inputs!$C$36*(1+Inputs!$E$65)</f>
        <v>6.435</v>
      </c>
      <c r="M736" s="37" t="n">
        <f aca="false">$C$721*Inputs!$C$36*(1+Inputs!$E$65)</f>
        <v>6.435</v>
      </c>
    </row>
    <row r="737" customFormat="false" ht="15" hidden="false" customHeight="false" outlineLevel="0" collapsed="false">
      <c r="A737" s="26" t="s">
        <v>159</v>
      </c>
      <c r="B737" s="36" t="s">
        <v>55</v>
      </c>
      <c r="D737" s="37" t="n">
        <f aca="false">($C$720+$C$722)*Inputs!$C$37*(1+Inputs!$E$65)</f>
        <v>2.7678</v>
      </c>
      <c r="E737" s="37" t="n">
        <f aca="false">($C$720+$C$722)*Inputs!$C$37*(1+Inputs!$E$65)</f>
        <v>2.7678</v>
      </c>
      <c r="F737" s="37" t="n">
        <f aca="false">($C$720+$C$722)*Inputs!$C$37*(1+Inputs!$E$65)</f>
        <v>2.7678</v>
      </c>
      <c r="G737" s="37" t="n">
        <f aca="false">($C$720+$C$722)*Inputs!$C$37*(1+Inputs!$E$65)</f>
        <v>2.7678</v>
      </c>
      <c r="H737" s="37" t="n">
        <f aca="false">($C$720+$C$722)*Inputs!$C$37*(1+Inputs!$E$65)</f>
        <v>2.7678</v>
      </c>
      <c r="I737" s="37" t="n">
        <f aca="false">($C$720+$C$722)*Inputs!$C$37*(1+Inputs!$E$65)</f>
        <v>2.7678</v>
      </c>
      <c r="J737" s="37" t="n">
        <f aca="false">($C$720+$C$722)*Inputs!$C$37*(1+Inputs!$E$65)</f>
        <v>2.7678</v>
      </c>
      <c r="K737" s="37" t="n">
        <f aca="false">($C$720+$C$722)*Inputs!$C$37*(1+Inputs!$E$65)</f>
        <v>2.7678</v>
      </c>
      <c r="L737" s="37" t="n">
        <f aca="false">($C$720+$C$722)*Inputs!$C$37*(1+Inputs!$E$65)</f>
        <v>2.7678</v>
      </c>
      <c r="M737" s="37" t="n">
        <f aca="false">($C$720+$C$722)*Inputs!$C$37*(1+Inputs!$E$65)</f>
        <v>2.7678</v>
      </c>
    </row>
    <row r="738" customFormat="false" ht="15" hidden="false" customHeight="false" outlineLevel="0" collapsed="false">
      <c r="A738" s="26" t="s">
        <v>160</v>
      </c>
      <c r="B738" s="36" t="s">
        <v>55</v>
      </c>
      <c r="D738" s="37" t="n">
        <f aca="false">Inputs!$C$38*(1+Inputs!$C$39)^(Inputs!D$6-1)*(1+Inputs!$E$65)</f>
        <v>9</v>
      </c>
      <c r="E738" s="37" t="n">
        <f aca="false">Inputs!$C$38*(1+Inputs!$C$39)^(Inputs!E$6-1)*(1+Inputs!$E$65)</f>
        <v>9.45</v>
      </c>
      <c r="F738" s="37" t="n">
        <f aca="false">Inputs!$C$38*(1+Inputs!$C$39)^(Inputs!F$6-1)*(1+Inputs!$E$65)</f>
        <v>9.9225</v>
      </c>
      <c r="G738" s="37" t="n">
        <f aca="false">Inputs!$C$38*(1+Inputs!$C$39)^(Inputs!G$6-1)*(1+Inputs!$E$65)</f>
        <v>10.418625</v>
      </c>
      <c r="H738" s="37" t="n">
        <f aca="false">Inputs!$C$38*(1+Inputs!$C$39)^(Inputs!H$6-1)*(1+Inputs!$E$65)</f>
        <v>10.93955625</v>
      </c>
      <c r="I738" s="37" t="n">
        <f aca="false">Inputs!$C$38*(1+Inputs!$C$39)^(Inputs!I$6-1)*(1+Inputs!$E$65)</f>
        <v>11.4865340625</v>
      </c>
      <c r="J738" s="37" t="n">
        <f aca="false">Inputs!$C$38*(1+Inputs!$C$39)^(Inputs!J$6-1)*(1+Inputs!$E$65)</f>
        <v>12.060860765625</v>
      </c>
      <c r="K738" s="37" t="n">
        <f aca="false">Inputs!$C$38*(1+Inputs!$C$39)^(Inputs!K$6-1)*(1+Inputs!$E$65)</f>
        <v>12.6639038039063</v>
      </c>
      <c r="L738" s="37" t="n">
        <f aca="false">Inputs!$C$38*(1+Inputs!$C$39)^(Inputs!L$6-1)*(1+Inputs!$E$65)</f>
        <v>13.2970989941016</v>
      </c>
      <c r="M738" s="37" t="n">
        <f aca="false">Inputs!$C$38*(1+Inputs!$C$39)^(Inputs!M$6-1)*(1+Inputs!$E$65)</f>
        <v>13.9619539438066</v>
      </c>
    </row>
    <row r="739" customFormat="false" ht="15" hidden="false" customHeight="false" outlineLevel="0" collapsed="false">
      <c r="A739" s="9" t="s">
        <v>161</v>
      </c>
      <c r="B739" s="36" t="s">
        <v>55</v>
      </c>
      <c r="D739" s="38" t="n">
        <f aca="false">SUM(D732:D738)</f>
        <v>77.0703</v>
      </c>
      <c r="E739" s="38" t="n">
        <f aca="false">SUM(E732:E738)</f>
        <v>85.848575</v>
      </c>
      <c r="F739" s="38" t="n">
        <f aca="false">SUM(F732:F738)</f>
        <v>95.31816125</v>
      </c>
      <c r="G739" s="38" t="n">
        <f aca="false">SUM(G732:G738)</f>
        <v>102.71445488</v>
      </c>
      <c r="H739" s="38" t="n">
        <f aca="false">SUM(H732:H738)</f>
        <v>107.6820735152</v>
      </c>
      <c r="I739" s="38" t="n">
        <f aca="false">SUM(I732:I738)</f>
        <v>114.152497632071</v>
      </c>
      <c r="J739" s="38" t="n">
        <f aca="false">SUM(J732:J738)</f>
        <v>119.729446815889</v>
      </c>
      <c r="K739" s="38" t="n">
        <f aca="false">SUM(K732:K738)</f>
        <v>125.606986674684</v>
      </c>
      <c r="L739" s="38" t="n">
        <f aca="false">SUM(L732:L738)</f>
        <v>131.801530349457</v>
      </c>
      <c r="M739" s="38" t="n">
        <f aca="false">SUM(M732:M738)</f>
        <v>138.330397815268</v>
      </c>
    </row>
    <row r="740" customFormat="false" ht="15" hidden="false" customHeight="false" outlineLevel="0" collapsed="false">
      <c r="A740" s="26" t="s">
        <v>162</v>
      </c>
      <c r="B740" s="36" t="s">
        <v>55</v>
      </c>
      <c r="D740" s="37" t="n">
        <f aca="false">D732+D733+D734</f>
        <v>26.8675</v>
      </c>
      <c r="E740" s="37" t="n">
        <f aca="false">E732+E733+E734</f>
        <v>33.275775</v>
      </c>
      <c r="F740" s="37" t="n">
        <f aca="false">F732+F733+F734</f>
        <v>40.23766125</v>
      </c>
      <c r="G740" s="37" t="n">
        <f aca="false">G732+G733+G734</f>
        <v>44.98051788</v>
      </c>
      <c r="H740" s="37" t="n">
        <f aca="false">H732+H733+H734</f>
        <v>47.1404545452</v>
      </c>
      <c r="I740" s="37" t="n">
        <f aca="false">I732+I733+I734</f>
        <v>50.6399450863707</v>
      </c>
      <c r="J740" s="37" t="n">
        <f aca="false">J732+J733+J734</f>
        <v>53.0731744580724</v>
      </c>
      <c r="K740" s="37" t="n">
        <f aca="false">K732+K733+K734</f>
        <v>55.6241145830545</v>
      </c>
      <c r="L740" s="37" t="n">
        <f aca="false">L732+L733+L734</f>
        <v>58.2984929703689</v>
      </c>
      <c r="M740" s="37" t="n">
        <f aca="false">M732+M733+M734</f>
        <v>61.1023171833754</v>
      </c>
    </row>
    <row r="741" customFormat="false" ht="15" hidden="false" customHeight="false" outlineLevel="0" collapsed="false">
      <c r="A741" s="26" t="s">
        <v>163</v>
      </c>
      <c r="B741" s="36" t="s">
        <v>55</v>
      </c>
      <c r="D741" s="37" t="n">
        <f aca="false">D735+D736+D737+D738</f>
        <v>50.2028</v>
      </c>
      <c r="E741" s="37" t="n">
        <f aca="false">E735+E736+E737+E738</f>
        <v>52.5728</v>
      </c>
      <c r="F741" s="37" t="n">
        <f aca="false">F735+F736+F737+F738</f>
        <v>55.0805</v>
      </c>
      <c r="G741" s="37" t="n">
        <f aca="false">G735+G736+G737+G738</f>
        <v>57.733937</v>
      </c>
      <c r="H741" s="37" t="n">
        <f aca="false">H735+H736+H737+H738</f>
        <v>60.54161897</v>
      </c>
      <c r="I741" s="37" t="n">
        <f aca="false">I735+I736+I737+I738</f>
        <v>63.5125525457</v>
      </c>
      <c r="J741" s="37" t="n">
        <f aca="false">J735+J736+J737+J738</f>
        <v>66.656272357817</v>
      </c>
      <c r="K741" s="37" t="n">
        <f aca="false">K735+K736+K737+K738</f>
        <v>69.9828720916298</v>
      </c>
      <c r="L741" s="37" t="n">
        <f aca="false">L735+L736+L737+L738</f>
        <v>73.5030373790885</v>
      </c>
      <c r="M741" s="37" t="n">
        <f aca="false">M735+M736+M737+M738</f>
        <v>77.2280806318928</v>
      </c>
    </row>
    <row r="742" customFormat="false" ht="15" hidden="false" customHeight="false" outlineLevel="0" collapsed="false">
      <c r="A742" s="9" t="s">
        <v>20</v>
      </c>
      <c r="B742" s="36" t="s">
        <v>55</v>
      </c>
      <c r="D742" s="38" t="n">
        <f aca="false">D729-D739</f>
        <v>104.4297</v>
      </c>
      <c r="E742" s="38" t="n">
        <f aca="false">E729-E739</f>
        <v>137.231425</v>
      </c>
      <c r="F742" s="38" t="n">
        <f aca="false">F729-F739</f>
        <v>172.37783875</v>
      </c>
      <c r="G742" s="38" t="n">
        <f aca="false">G729-G739</f>
        <v>194.24964112</v>
      </c>
      <c r="H742" s="38" t="n">
        <f aca="false">H729-H739</f>
        <v>201.1605863248</v>
      </c>
      <c r="I742" s="38" t="n">
        <f aca="false">I729-I739</f>
        <v>215.073777757369</v>
      </c>
      <c r="J742" s="38" t="n">
        <f aca="false">J729-J739</f>
        <v>222.665879589128</v>
      </c>
      <c r="K742" s="38" t="n">
        <f aca="false">K729-K739</f>
        <v>230.484152786534</v>
      </c>
      <c r="L742" s="38" t="n">
        <f aca="false">L729-L739</f>
        <v>238.53325469021</v>
      </c>
      <c r="M742" s="38" t="n">
        <f aca="false">M729-M739</f>
        <v>246.817778625986</v>
      </c>
    </row>
    <row r="744" customFormat="false" ht="15" hidden="false" customHeight="false" outlineLevel="0" collapsed="false">
      <c r="A744" s="24" t="s">
        <v>164</v>
      </c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</row>
    <row r="745" customFormat="false" ht="15" hidden="false" customHeight="false" outlineLevel="0" collapsed="false">
      <c r="A745" s="26" t="s">
        <v>165</v>
      </c>
      <c r="B745" s="36" t="s">
        <v>55</v>
      </c>
      <c r="D745" s="37" t="n">
        <f aca="false">IF(Inputs!D$6&lt;=Inputs!$C$41,$C$720/Inputs!$C$41,0)</f>
        <v>8.05</v>
      </c>
      <c r="E745" s="37" t="n">
        <f aca="false">IF(Inputs!E$6&lt;=Inputs!$C$41,$C$720/Inputs!$C$41,0)</f>
        <v>8.05</v>
      </c>
      <c r="F745" s="37" t="n">
        <f aca="false">IF(Inputs!F$6&lt;=Inputs!$C$41,$C$720/Inputs!$C$41,0)</f>
        <v>8.05</v>
      </c>
      <c r="G745" s="37" t="n">
        <f aca="false">IF(Inputs!G$6&lt;=Inputs!$C$41,$C$720/Inputs!$C$41,0)</f>
        <v>8.05</v>
      </c>
      <c r="H745" s="37" t="n">
        <f aca="false">IF(Inputs!H$6&lt;=Inputs!$C$41,$C$720/Inputs!$C$41,0)</f>
        <v>8.05</v>
      </c>
      <c r="I745" s="37" t="n">
        <f aca="false">IF(Inputs!I$6&lt;=Inputs!$C$41,$C$720/Inputs!$C$41,0)</f>
        <v>8.05</v>
      </c>
      <c r="J745" s="37" t="n">
        <f aca="false">IF(Inputs!J$6&lt;=Inputs!$C$41,$C$720/Inputs!$C$41,0)</f>
        <v>8.05</v>
      </c>
      <c r="K745" s="37" t="n">
        <f aca="false">IF(Inputs!K$6&lt;=Inputs!$C$41,$C$720/Inputs!$C$41,0)</f>
        <v>8.05</v>
      </c>
      <c r="L745" s="37" t="n">
        <f aca="false">IF(Inputs!L$6&lt;=Inputs!$C$41,$C$720/Inputs!$C$41,0)</f>
        <v>8.05</v>
      </c>
      <c r="M745" s="37" t="n">
        <f aca="false">IF(Inputs!M$6&lt;=Inputs!$C$41,$C$720/Inputs!$C$41,0)</f>
        <v>8.05</v>
      </c>
    </row>
    <row r="746" customFormat="false" ht="15" hidden="false" customHeight="false" outlineLevel="0" collapsed="false">
      <c r="A746" s="26" t="s">
        <v>166</v>
      </c>
      <c r="B746" s="36" t="s">
        <v>55</v>
      </c>
      <c r="D746" s="37" t="n">
        <f aca="false">IF(Inputs!D$6&lt;=Inputs!$C$42,$C$722/Inputs!$C$42,0)</f>
        <v>30.03</v>
      </c>
      <c r="E746" s="37" t="n">
        <f aca="false">IF(Inputs!E$6&lt;=Inputs!$C$42,$C$722/Inputs!$C$42,0)</f>
        <v>30.03</v>
      </c>
      <c r="F746" s="37" t="n">
        <f aca="false">IF(Inputs!F$6&lt;=Inputs!$C$42,$C$722/Inputs!$C$42,0)</f>
        <v>30.03</v>
      </c>
      <c r="G746" s="37" t="n">
        <f aca="false">IF(Inputs!G$6&lt;=Inputs!$C$42,$C$722/Inputs!$C$42,0)</f>
        <v>30.03</v>
      </c>
      <c r="H746" s="37" t="n">
        <f aca="false">IF(Inputs!H$6&lt;=Inputs!$C$42,$C$722/Inputs!$C$42,0)</f>
        <v>30.03</v>
      </c>
      <c r="I746" s="37" t="n">
        <f aca="false">IF(Inputs!I$6&lt;=Inputs!$C$42,$C$722/Inputs!$C$42,0)</f>
        <v>30.03</v>
      </c>
      <c r="J746" s="37" t="n">
        <f aca="false">IF(Inputs!J$6&lt;=Inputs!$C$42,$C$722/Inputs!$C$42,0)</f>
        <v>30.03</v>
      </c>
      <c r="K746" s="37" t="n">
        <f aca="false">IF(Inputs!K$6&lt;=Inputs!$C$42,$C$722/Inputs!$C$42,0)</f>
        <v>30.03</v>
      </c>
      <c r="L746" s="37" t="n">
        <f aca="false">IF(Inputs!L$6&lt;=Inputs!$C$42,$C$722/Inputs!$C$42,0)</f>
        <v>30.03</v>
      </c>
      <c r="M746" s="37" t="n">
        <f aca="false">IF(Inputs!M$6&lt;=Inputs!$C$42,$C$722/Inputs!$C$42,0)</f>
        <v>30.03</v>
      </c>
    </row>
    <row r="747" customFormat="false" ht="15" hidden="false" customHeight="false" outlineLevel="0" collapsed="false">
      <c r="A747" s="26" t="s">
        <v>167</v>
      </c>
      <c r="B747" s="36" t="s">
        <v>55</v>
      </c>
      <c r="D747" s="37" t="n">
        <f aca="false">IF(Inputs!D$6&lt;=Inputs!$C$43,$C$708/Inputs!$C$43,0)</f>
        <v>4.4</v>
      </c>
      <c r="E747" s="37" t="n">
        <f aca="false">IF(Inputs!E$6&lt;=Inputs!$C$43,$C$708/Inputs!$C$43,0)</f>
        <v>4.4</v>
      </c>
      <c r="F747" s="37" t="n">
        <f aca="false">IF(Inputs!F$6&lt;=Inputs!$C$43,$C$708/Inputs!$C$43,0)</f>
        <v>4.4</v>
      </c>
      <c r="G747" s="37" t="n">
        <f aca="false">IF(Inputs!G$6&lt;=Inputs!$C$43,$C$708/Inputs!$C$43,0)</f>
        <v>4.4</v>
      </c>
      <c r="H747" s="37" t="n">
        <f aca="false">IF(Inputs!H$6&lt;=Inputs!$C$43,$C$708/Inputs!$C$43,0)</f>
        <v>4.4</v>
      </c>
      <c r="I747" s="37" t="n">
        <f aca="false">IF(Inputs!I$6&lt;=Inputs!$C$43,$C$708/Inputs!$C$43,0)</f>
        <v>0</v>
      </c>
      <c r="J747" s="37" t="n">
        <f aca="false">IF(Inputs!J$6&lt;=Inputs!$C$43,$C$708/Inputs!$C$43,0)</f>
        <v>0</v>
      </c>
      <c r="K747" s="37" t="n">
        <f aca="false">IF(Inputs!K$6&lt;=Inputs!$C$43,$C$708/Inputs!$C$43,0)</f>
        <v>0</v>
      </c>
      <c r="L747" s="37" t="n">
        <f aca="false">IF(Inputs!L$6&lt;=Inputs!$C$43,$C$708/Inputs!$C$43,0)</f>
        <v>0</v>
      </c>
      <c r="M747" s="37" t="n">
        <f aca="false">IF(Inputs!M$6&lt;=Inputs!$C$43,$C$708/Inputs!$C$43,0)</f>
        <v>0</v>
      </c>
    </row>
    <row r="748" customFormat="false" ht="15" hidden="false" customHeight="false" outlineLevel="0" collapsed="false">
      <c r="A748" s="9" t="s">
        <v>168</v>
      </c>
      <c r="B748" s="36" t="s">
        <v>55</v>
      </c>
      <c r="D748" s="38" t="n">
        <f aca="false">SUM(D745:D747)</f>
        <v>42.48</v>
      </c>
      <c r="E748" s="38" t="n">
        <f aca="false">SUM(E745:E747)</f>
        <v>42.48</v>
      </c>
      <c r="F748" s="38" t="n">
        <f aca="false">SUM(F745:F747)</f>
        <v>42.48</v>
      </c>
      <c r="G748" s="38" t="n">
        <f aca="false">SUM(G745:G747)</f>
        <v>42.48</v>
      </c>
      <c r="H748" s="38" t="n">
        <f aca="false">SUM(H745:H747)</f>
        <v>42.48</v>
      </c>
      <c r="I748" s="38" t="n">
        <f aca="false">SUM(I745:I747)</f>
        <v>38.08</v>
      </c>
      <c r="J748" s="38" t="n">
        <f aca="false">SUM(J745:J747)</f>
        <v>38.08</v>
      </c>
      <c r="K748" s="38" t="n">
        <f aca="false">SUM(K745:K747)</f>
        <v>38.08</v>
      </c>
      <c r="L748" s="38" t="n">
        <f aca="false">SUM(L745:L747)</f>
        <v>38.08</v>
      </c>
      <c r="M748" s="38" t="n">
        <f aca="false">SUM(M745:M747)</f>
        <v>38.08</v>
      </c>
    </row>
    <row r="749" customFormat="false" ht="15" hidden="false" customHeight="false" outlineLevel="0" collapsed="false">
      <c r="A749" s="26" t="s">
        <v>169</v>
      </c>
      <c r="B749" s="36" t="s">
        <v>55</v>
      </c>
      <c r="C749" s="37" t="n">
        <f aca="false">C709</f>
        <v>753.95</v>
      </c>
      <c r="D749" s="37" t="n">
        <f aca="false">C749-D748</f>
        <v>711.47</v>
      </c>
      <c r="E749" s="37" t="n">
        <f aca="false">D749-E748</f>
        <v>668.99</v>
      </c>
      <c r="F749" s="37" t="n">
        <f aca="false">E749-F748</f>
        <v>626.51</v>
      </c>
      <c r="G749" s="37" t="n">
        <f aca="false">F749-G748</f>
        <v>584.03</v>
      </c>
      <c r="H749" s="37" t="n">
        <f aca="false">G749-H748</f>
        <v>541.55</v>
      </c>
      <c r="I749" s="37" t="n">
        <f aca="false">H749-I748</f>
        <v>503.47</v>
      </c>
      <c r="J749" s="37" t="n">
        <f aca="false">I749-J748</f>
        <v>465.39</v>
      </c>
      <c r="K749" s="37" t="n">
        <f aca="false">J749-K748</f>
        <v>427.31</v>
      </c>
      <c r="L749" s="37" t="n">
        <f aca="false">K749-L748</f>
        <v>389.23</v>
      </c>
      <c r="M749" s="37" t="n">
        <f aca="false">L749-M748</f>
        <v>351.15</v>
      </c>
    </row>
    <row r="751" customFormat="false" ht="15" hidden="false" customHeight="false" outlineLevel="0" collapsed="false">
      <c r="A751" s="24" t="s">
        <v>170</v>
      </c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</row>
    <row r="752" customFormat="false" ht="15" hidden="false" customHeight="false" outlineLevel="0" collapsed="false">
      <c r="A752" s="26" t="s">
        <v>171</v>
      </c>
      <c r="B752" s="36" t="s">
        <v>55</v>
      </c>
      <c r="C752" s="37" t="n">
        <f aca="false">0</f>
        <v>0</v>
      </c>
      <c r="D752" s="37" t="n">
        <f aca="false">D729*Inputs!$C$45/Inputs!$C$47</f>
        <v>22.3767123287671</v>
      </c>
      <c r="E752" s="37" t="n">
        <f aca="false">E729*Inputs!$C$45/Inputs!$C$47</f>
        <v>27.5030136986301</v>
      </c>
      <c r="F752" s="37" t="n">
        <f aca="false">F729*Inputs!$C$45/Inputs!$C$47</f>
        <v>33.0036164383562</v>
      </c>
      <c r="G752" s="37" t="n">
        <f aca="false">G729*Inputs!$C$45/Inputs!$C$47</f>
        <v>36.6120118356164</v>
      </c>
      <c r="H752" s="37" t="n">
        <f aca="false">H729*Inputs!$C$45/Inputs!$C$47</f>
        <v>38.0764923090411</v>
      </c>
      <c r="I752" s="37" t="n">
        <f aca="false">I729*Inputs!$C$45/Inputs!$C$47</f>
        <v>40.5895408014378</v>
      </c>
      <c r="J752" s="37" t="n">
        <f aca="false">J729*Inputs!$C$45/Inputs!$C$47</f>
        <v>42.2131224334953</v>
      </c>
      <c r="K752" s="37" t="n">
        <f aca="false">K729*Inputs!$C$45/Inputs!$C$47</f>
        <v>43.9016473308352</v>
      </c>
      <c r="L752" s="37" t="n">
        <f aca="false">L729*Inputs!$C$45/Inputs!$C$47</f>
        <v>45.6577132240686</v>
      </c>
      <c r="M752" s="37" t="n">
        <f aca="false">M729*Inputs!$C$45/Inputs!$C$47</f>
        <v>47.4840217530313</v>
      </c>
    </row>
    <row r="753" customFormat="false" ht="15" hidden="false" customHeight="false" outlineLevel="0" collapsed="false">
      <c r="A753" s="26" t="s">
        <v>172</v>
      </c>
      <c r="B753" s="36" t="s">
        <v>55</v>
      </c>
      <c r="C753" s="37" t="n">
        <f aca="false">0</f>
        <v>0</v>
      </c>
      <c r="D753" s="37" t="n">
        <f aca="false">D739*Inputs!$C$46/Inputs!$C$47</f>
        <v>6.33454520547945</v>
      </c>
      <c r="E753" s="37" t="n">
        <f aca="false">E739*Inputs!$C$46/Inputs!$C$47</f>
        <v>7.05604726027397</v>
      </c>
      <c r="F753" s="37" t="n">
        <f aca="false">F739*Inputs!$C$46/Inputs!$C$47</f>
        <v>7.83436941780822</v>
      </c>
      <c r="G753" s="37" t="n">
        <f aca="false">G739*Inputs!$C$46/Inputs!$C$47</f>
        <v>8.44228396273973</v>
      </c>
      <c r="H753" s="37" t="n">
        <f aca="false">H739*Inputs!$C$46/Inputs!$C$47</f>
        <v>8.85058138481096</v>
      </c>
      <c r="I753" s="37" t="n">
        <f aca="false">I739*Inputs!$C$46/Inputs!$C$47</f>
        <v>9.38239706564965</v>
      </c>
      <c r="J753" s="37" t="n">
        <f aca="false">J739*Inputs!$C$46/Inputs!$C$47</f>
        <v>9.84077645062105</v>
      </c>
      <c r="K753" s="37" t="n">
        <f aca="false">K739*Inputs!$C$46/Inputs!$C$47</f>
        <v>10.3238619184672</v>
      </c>
      <c r="L753" s="37" t="n">
        <f aca="false">L739*Inputs!$C$46/Inputs!$C$47</f>
        <v>10.833002494476</v>
      </c>
      <c r="M753" s="37" t="n">
        <f aca="false">M739*Inputs!$C$46/Inputs!$C$47</f>
        <v>11.3696217382412</v>
      </c>
    </row>
    <row r="754" customFormat="false" ht="15" hidden="false" customHeight="false" outlineLevel="0" collapsed="false">
      <c r="A754" s="9" t="s">
        <v>173</v>
      </c>
      <c r="B754" s="36" t="s">
        <v>55</v>
      </c>
      <c r="C754" s="43" t="n">
        <f aca="false">C752-C753</f>
        <v>0</v>
      </c>
      <c r="D754" s="43" t="n">
        <f aca="false">D752-D753</f>
        <v>16.0421671232877</v>
      </c>
      <c r="E754" s="43" t="n">
        <f aca="false">E752-E753</f>
        <v>20.4469664383562</v>
      </c>
      <c r="F754" s="43" t="n">
        <f aca="false">F752-F753</f>
        <v>25.169247020548</v>
      </c>
      <c r="G754" s="43" t="n">
        <f aca="false">G752-G753</f>
        <v>28.1697278728767</v>
      </c>
      <c r="H754" s="43" t="n">
        <f aca="false">H752-H753</f>
        <v>29.2259109242301</v>
      </c>
      <c r="I754" s="43" t="n">
        <f aca="false">I752-I753</f>
        <v>31.2071437357882</v>
      </c>
      <c r="J754" s="43" t="n">
        <f aca="false">J752-J753</f>
        <v>32.3723459828743</v>
      </c>
      <c r="K754" s="43" t="n">
        <f aca="false">K752-K753</f>
        <v>33.5777854123679</v>
      </c>
      <c r="L754" s="43" t="n">
        <f aca="false">L752-L753</f>
        <v>34.8247107295926</v>
      </c>
      <c r="M754" s="43" t="n">
        <f aca="false">M752-M753</f>
        <v>36.1144000147901</v>
      </c>
    </row>
    <row r="755" customFormat="false" ht="15" hidden="false" customHeight="false" outlineLevel="0" collapsed="false">
      <c r="A755" s="24" t="s">
        <v>302</v>
      </c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</row>
    <row r="756" customFormat="false" ht="15" hidden="false" customHeight="false" outlineLevel="0" collapsed="false">
      <c r="A756" s="26" t="s">
        <v>176</v>
      </c>
      <c r="B756" s="36" t="s">
        <v>55</v>
      </c>
      <c r="C756" s="37" t="n">
        <f aca="false">0</f>
        <v>0</v>
      </c>
      <c r="D756" s="37" t="n">
        <f aca="false">C761</f>
        <v>463.17</v>
      </c>
      <c r="E756" s="37" t="n">
        <f aca="false">D761</f>
        <v>463.17</v>
      </c>
      <c r="F756" s="37" t="n">
        <f aca="false">E761</f>
        <v>463.17</v>
      </c>
      <c r="G756" s="37" t="n">
        <f aca="false">F761</f>
        <v>397.002857142857</v>
      </c>
      <c r="H756" s="37" t="n">
        <f aca="false">G761</f>
        <v>330.835714285714</v>
      </c>
      <c r="I756" s="37" t="n">
        <f aca="false">H761</f>
        <v>264.668571428571</v>
      </c>
      <c r="J756" s="37" t="n">
        <f aca="false">I761</f>
        <v>198.501428571429</v>
      </c>
      <c r="K756" s="37" t="n">
        <f aca="false">J761</f>
        <v>132.334285714286</v>
      </c>
      <c r="L756" s="37" t="n">
        <f aca="false">K761</f>
        <v>66.1671428571429</v>
      </c>
      <c r="M756" s="37" t="n">
        <f aca="false">L761</f>
        <v>0</v>
      </c>
    </row>
    <row r="757" customFormat="false" ht="15" hidden="false" customHeight="false" outlineLevel="0" collapsed="false">
      <c r="A757" s="26" t="s">
        <v>177</v>
      </c>
      <c r="B757" s="36" t="s">
        <v>55</v>
      </c>
      <c r="C757" s="37" t="n">
        <f aca="false">C714</f>
        <v>463.17</v>
      </c>
      <c r="D757" s="37" t="n">
        <f aca="false">0</f>
        <v>0</v>
      </c>
      <c r="E757" s="37" t="n">
        <f aca="false">0</f>
        <v>0</v>
      </c>
      <c r="F757" s="37" t="n">
        <f aca="false">0</f>
        <v>0</v>
      </c>
      <c r="G757" s="37" t="n">
        <f aca="false">0</f>
        <v>0</v>
      </c>
      <c r="H757" s="37" t="n">
        <f aca="false">0</f>
        <v>0</v>
      </c>
      <c r="I757" s="37" t="n">
        <f aca="false">0</f>
        <v>0</v>
      </c>
      <c r="J757" s="37" t="n">
        <f aca="false">0</f>
        <v>0</v>
      </c>
      <c r="K757" s="37" t="n">
        <f aca="false">0</f>
        <v>0</v>
      </c>
      <c r="L757" s="37" t="n">
        <f aca="false">0</f>
        <v>0</v>
      </c>
      <c r="M757" s="37" t="n">
        <f aca="false">0</f>
        <v>0</v>
      </c>
    </row>
    <row r="758" customFormat="false" ht="15" hidden="false" customHeight="false" outlineLevel="0" collapsed="false">
      <c r="A758" s="26" t="s">
        <v>178</v>
      </c>
      <c r="B758" s="36" t="s">
        <v>62</v>
      </c>
      <c r="C758" s="40" t="n">
        <f aca="false">Inputs!$C$21+Inputs!$G$65</f>
        <v>0.125</v>
      </c>
      <c r="D758" s="40" t="n">
        <f aca="false">Inputs!$C$21+Inputs!$G$65</f>
        <v>0.125</v>
      </c>
      <c r="E758" s="40" t="n">
        <f aca="false">Inputs!$C$21+Inputs!$G$65</f>
        <v>0.125</v>
      </c>
      <c r="F758" s="40" t="n">
        <f aca="false">Inputs!$C$21+Inputs!$G$65</f>
        <v>0.125</v>
      </c>
      <c r="G758" s="40" t="n">
        <f aca="false">Inputs!$C$21+Inputs!$G$65</f>
        <v>0.125</v>
      </c>
      <c r="H758" s="40" t="n">
        <f aca="false">Inputs!$C$21+Inputs!$G$65</f>
        <v>0.125</v>
      </c>
      <c r="I758" s="40" t="n">
        <f aca="false">Inputs!$C$21+Inputs!$G$65</f>
        <v>0.125</v>
      </c>
      <c r="J758" s="40" t="n">
        <f aca="false">Inputs!$C$21+Inputs!$G$65</f>
        <v>0.125</v>
      </c>
      <c r="K758" s="40" t="n">
        <f aca="false">Inputs!$C$21+Inputs!$G$65</f>
        <v>0.125</v>
      </c>
      <c r="L758" s="40" t="n">
        <f aca="false">Inputs!$C$21+Inputs!$G$65</f>
        <v>0.125</v>
      </c>
      <c r="M758" s="40" t="n">
        <f aca="false">Inputs!$C$21+Inputs!$G$65</f>
        <v>0.125</v>
      </c>
    </row>
    <row r="759" customFormat="false" ht="15" hidden="false" customHeight="false" outlineLevel="0" collapsed="false">
      <c r="A759" s="26" t="s">
        <v>179</v>
      </c>
      <c r="B759" s="36" t="s">
        <v>55</v>
      </c>
      <c r="C759" s="37" t="n">
        <f aca="false">0</f>
        <v>0</v>
      </c>
      <c r="D759" s="37" t="n">
        <f aca="false">D756*D758</f>
        <v>57.89625</v>
      </c>
      <c r="E759" s="37" t="n">
        <f aca="false">E756*E758</f>
        <v>57.89625</v>
      </c>
      <c r="F759" s="37" t="n">
        <f aca="false">F756*F758</f>
        <v>57.89625</v>
      </c>
      <c r="G759" s="37" t="n">
        <f aca="false">G756*G758</f>
        <v>49.6253571428571</v>
      </c>
      <c r="H759" s="37" t="n">
        <f aca="false">H756*H758</f>
        <v>41.3544642857143</v>
      </c>
      <c r="I759" s="37" t="n">
        <f aca="false">I756*I758</f>
        <v>33.0835714285714</v>
      </c>
      <c r="J759" s="37" t="n">
        <f aca="false">J756*J758</f>
        <v>24.8126785714286</v>
      </c>
      <c r="K759" s="37" t="n">
        <f aca="false">K756*K758</f>
        <v>16.5417857142857</v>
      </c>
      <c r="L759" s="37" t="n">
        <f aca="false">L756*L758</f>
        <v>8.27089285714286</v>
      </c>
      <c r="M759" s="37" t="n">
        <f aca="false">M756*M758</f>
        <v>0</v>
      </c>
    </row>
    <row r="760" customFormat="false" ht="15" hidden="false" customHeight="false" outlineLevel="0" collapsed="false">
      <c r="A760" s="26" t="s">
        <v>180</v>
      </c>
      <c r="B760" s="36" t="s">
        <v>55</v>
      </c>
      <c r="C760" s="37" t="n">
        <f aca="false">0</f>
        <v>0</v>
      </c>
      <c r="D760" s="37" t="n">
        <f aca="false">IF(AND(Inputs!D$6&gt;Inputs!$C$22,Inputs!D$6&lt;=Inputs!$C$22+Inputs!$C$23),MIN(D756,$C$714/Inputs!$C$23),0)</f>
        <v>0</v>
      </c>
      <c r="E760" s="37" t="n">
        <f aca="false">IF(AND(Inputs!E$6&gt;Inputs!$C$22,Inputs!E$6&lt;=Inputs!$C$22+Inputs!$C$23),MIN(E756,$C$714/Inputs!$C$23),0)</f>
        <v>0</v>
      </c>
      <c r="F760" s="37" t="n">
        <f aca="false">IF(AND(Inputs!F$6&gt;Inputs!$C$22,Inputs!F$6&lt;=Inputs!$C$22+Inputs!$C$23),MIN(F756,$C$714/Inputs!$C$23),0)</f>
        <v>66.1671428571429</v>
      </c>
      <c r="G760" s="37" t="n">
        <f aca="false">IF(AND(Inputs!G$6&gt;Inputs!$C$22,Inputs!G$6&lt;=Inputs!$C$22+Inputs!$C$23),MIN(G756,$C$714/Inputs!$C$23),0)</f>
        <v>66.1671428571429</v>
      </c>
      <c r="H760" s="37" t="n">
        <f aca="false">IF(AND(Inputs!H$6&gt;Inputs!$C$22,Inputs!H$6&lt;=Inputs!$C$22+Inputs!$C$23),MIN(H756,$C$714/Inputs!$C$23),0)</f>
        <v>66.1671428571429</v>
      </c>
      <c r="I760" s="37" t="n">
        <f aca="false">IF(AND(Inputs!I$6&gt;Inputs!$C$22,Inputs!I$6&lt;=Inputs!$C$22+Inputs!$C$23),MIN(I756,$C$714/Inputs!$C$23),0)</f>
        <v>66.1671428571429</v>
      </c>
      <c r="J760" s="37" t="n">
        <f aca="false">IF(AND(Inputs!J$6&gt;Inputs!$C$22,Inputs!J$6&lt;=Inputs!$C$22+Inputs!$C$23),MIN(J756,$C$714/Inputs!$C$23),0)</f>
        <v>66.1671428571429</v>
      </c>
      <c r="K760" s="37" t="n">
        <f aca="false">IF(AND(Inputs!K$6&gt;Inputs!$C$22,Inputs!K$6&lt;=Inputs!$C$22+Inputs!$C$23),MIN(K756,$C$714/Inputs!$C$23),0)</f>
        <v>66.1671428571429</v>
      </c>
      <c r="L760" s="37" t="n">
        <f aca="false">IF(AND(Inputs!L$6&gt;Inputs!$C$22,Inputs!L$6&lt;=Inputs!$C$22+Inputs!$C$23),MIN(L756,$C$714/Inputs!$C$23),0)</f>
        <v>66.1671428571429</v>
      </c>
      <c r="M760" s="37" t="n">
        <f aca="false">IF(AND(Inputs!M$6&gt;Inputs!$C$22,Inputs!M$6&lt;=Inputs!$C$22+Inputs!$C$23),MIN(M756,$C$714/Inputs!$C$23),0)</f>
        <v>0</v>
      </c>
    </row>
    <row r="761" customFormat="false" ht="15" hidden="false" customHeight="false" outlineLevel="0" collapsed="false">
      <c r="A761" s="9" t="s">
        <v>181</v>
      </c>
      <c r="B761" s="36" t="s">
        <v>55</v>
      </c>
      <c r="C761" s="38" t="n">
        <f aca="false">C756+C757-C760</f>
        <v>463.17</v>
      </c>
      <c r="D761" s="38" t="n">
        <f aca="false">D756+D757-D760</f>
        <v>463.17</v>
      </c>
      <c r="E761" s="38" t="n">
        <f aca="false">E756+E757-E760</f>
        <v>463.17</v>
      </c>
      <c r="F761" s="38" t="n">
        <f aca="false">F756+F757-F760</f>
        <v>397.002857142857</v>
      </c>
      <c r="G761" s="38" t="n">
        <f aca="false">G756+G757-G760</f>
        <v>330.835714285714</v>
      </c>
      <c r="H761" s="38" t="n">
        <f aca="false">H756+H757-H760</f>
        <v>264.668571428571</v>
      </c>
      <c r="I761" s="38" t="n">
        <f aca="false">I756+I757-I760</f>
        <v>198.501428571429</v>
      </c>
      <c r="J761" s="38" t="n">
        <f aca="false">J756+J757-J760</f>
        <v>132.334285714286</v>
      </c>
      <c r="K761" s="38" t="n">
        <f aca="false">K756+K757-K760</f>
        <v>66.1671428571429</v>
      </c>
      <c r="L761" s="38" t="n">
        <f aca="false">L756+L757-L760</f>
        <v>0</v>
      </c>
      <c r="M761" s="38" t="n">
        <f aca="false">M756+M757-M760</f>
        <v>0</v>
      </c>
    </row>
    <row r="762" customFormat="false" ht="15" hidden="false" customHeight="false" outlineLevel="0" collapsed="false">
      <c r="A762" s="24" t="s">
        <v>303</v>
      </c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</row>
    <row r="763" customFormat="false" ht="15" hidden="false" customHeight="false" outlineLevel="0" collapsed="false">
      <c r="A763" s="26" t="s">
        <v>152</v>
      </c>
      <c r="B763" s="36" t="s">
        <v>55</v>
      </c>
      <c r="D763" s="37" t="n">
        <f aca="false">D729</f>
        <v>181.5</v>
      </c>
      <c r="E763" s="37" t="n">
        <f aca="false">E729</f>
        <v>223.08</v>
      </c>
      <c r="F763" s="37" t="n">
        <f aca="false">F729</f>
        <v>267.696</v>
      </c>
      <c r="G763" s="37" t="n">
        <f aca="false">G729</f>
        <v>296.964096</v>
      </c>
      <c r="H763" s="37" t="n">
        <f aca="false">H729</f>
        <v>308.84265984</v>
      </c>
      <c r="I763" s="37" t="n">
        <f aca="false">I729</f>
        <v>329.22627538944</v>
      </c>
      <c r="J763" s="37" t="n">
        <f aca="false">J729</f>
        <v>342.395326405018</v>
      </c>
      <c r="K763" s="37" t="n">
        <f aca="false">K729</f>
        <v>356.091139461218</v>
      </c>
      <c r="L763" s="37" t="n">
        <f aca="false">L729</f>
        <v>370.334785039667</v>
      </c>
      <c r="M763" s="37" t="n">
        <f aca="false">M729</f>
        <v>385.148176441254</v>
      </c>
    </row>
    <row r="764" customFormat="false" ht="15" hidden="false" customHeight="false" outlineLevel="0" collapsed="false">
      <c r="A764" s="26" t="s">
        <v>77</v>
      </c>
      <c r="B764" s="36" t="s">
        <v>55</v>
      </c>
      <c r="D764" s="37" t="n">
        <f aca="false">D739</f>
        <v>77.0703</v>
      </c>
      <c r="E764" s="37" t="n">
        <f aca="false">E739</f>
        <v>85.848575</v>
      </c>
      <c r="F764" s="37" t="n">
        <f aca="false">F739</f>
        <v>95.31816125</v>
      </c>
      <c r="G764" s="37" t="n">
        <f aca="false">G739</f>
        <v>102.71445488</v>
      </c>
      <c r="H764" s="37" t="n">
        <f aca="false">H739</f>
        <v>107.6820735152</v>
      </c>
      <c r="I764" s="37" t="n">
        <f aca="false">I739</f>
        <v>114.152497632071</v>
      </c>
      <c r="J764" s="37" t="n">
        <f aca="false">J739</f>
        <v>119.729446815889</v>
      </c>
      <c r="K764" s="37" t="n">
        <f aca="false">K739</f>
        <v>125.606986674684</v>
      </c>
      <c r="L764" s="37" t="n">
        <f aca="false">L739</f>
        <v>131.801530349457</v>
      </c>
      <c r="M764" s="37" t="n">
        <f aca="false">M739</f>
        <v>138.330397815268</v>
      </c>
    </row>
    <row r="765" customFormat="false" ht="15" hidden="false" customHeight="false" outlineLevel="0" collapsed="false">
      <c r="A765" s="9" t="s">
        <v>20</v>
      </c>
      <c r="B765" s="36" t="s">
        <v>55</v>
      </c>
      <c r="D765" s="38" t="n">
        <f aca="false">D763-D764</f>
        <v>104.4297</v>
      </c>
      <c r="E765" s="38" t="n">
        <f aca="false">E763-E764</f>
        <v>137.231425</v>
      </c>
      <c r="F765" s="38" t="n">
        <f aca="false">F763-F764</f>
        <v>172.37783875</v>
      </c>
      <c r="G765" s="38" t="n">
        <f aca="false">G763-G764</f>
        <v>194.24964112</v>
      </c>
      <c r="H765" s="38" t="n">
        <f aca="false">H763-H764</f>
        <v>201.1605863248</v>
      </c>
      <c r="I765" s="38" t="n">
        <f aca="false">I763-I764</f>
        <v>215.073777757369</v>
      </c>
      <c r="J765" s="38" t="n">
        <f aca="false">J763-J764</f>
        <v>222.665879589128</v>
      </c>
      <c r="K765" s="38" t="n">
        <f aca="false">K763-K764</f>
        <v>230.484152786534</v>
      </c>
      <c r="L765" s="38" t="n">
        <f aca="false">L763-L764</f>
        <v>238.53325469021</v>
      </c>
      <c r="M765" s="38" t="n">
        <f aca="false">M763-M764</f>
        <v>246.817778625986</v>
      </c>
    </row>
    <row r="766" customFormat="false" ht="15" hidden="false" customHeight="false" outlineLevel="0" collapsed="false">
      <c r="A766" s="26" t="s">
        <v>184</v>
      </c>
      <c r="B766" s="36" t="s">
        <v>62</v>
      </c>
      <c r="D766" s="40" t="n">
        <f aca="false">IF(D763=0,0,D765/D763)</f>
        <v>0.575370247933884</v>
      </c>
      <c r="E766" s="40" t="n">
        <f aca="false">IF(E763=0,0,E765/E763)</f>
        <v>0.615166868388022</v>
      </c>
      <c r="F766" s="40" t="n">
        <f aca="false">IF(F763=0,0,F765/F763)</f>
        <v>0.643931320415696</v>
      </c>
      <c r="G766" s="40" t="n">
        <f aca="false">IF(G763=0,0,G765/G763)</f>
        <v>0.654118271321258</v>
      </c>
      <c r="H766" s="40" t="n">
        <f aca="false">IF(H763=0,0,H765/H763)</f>
        <v>0.651336788865288</v>
      </c>
      <c r="I766" s="40" t="n">
        <f aca="false">IF(I763=0,0,I765/I763)</f>
        <v>0.653270391322684</v>
      </c>
      <c r="J766" s="40" t="n">
        <f aca="false">IF(J763=0,0,J765/J763)</f>
        <v>0.650318104300693</v>
      </c>
      <c r="K766" s="40" t="n">
        <f aca="false">IF(K763=0,0,K765/K763)</f>
        <v>0.647261690182089</v>
      </c>
      <c r="L766" s="40" t="n">
        <f aca="false">IF(L763=0,0,L765/L763)</f>
        <v>0.644101673205395</v>
      </c>
      <c r="M766" s="40" t="n">
        <f aca="false">IF(M763=0,0,M765/M763)</f>
        <v>0.640838497293606</v>
      </c>
    </row>
    <row r="767" customFormat="false" ht="15" hidden="false" customHeight="false" outlineLevel="0" collapsed="false">
      <c r="A767" s="26" t="s">
        <v>185</v>
      </c>
      <c r="B767" s="36" t="s">
        <v>55</v>
      </c>
      <c r="D767" s="37" t="n">
        <f aca="false">D748</f>
        <v>42.48</v>
      </c>
      <c r="E767" s="37" t="n">
        <f aca="false">E748</f>
        <v>42.48</v>
      </c>
      <c r="F767" s="37" t="n">
        <f aca="false">F748</f>
        <v>42.48</v>
      </c>
      <c r="G767" s="37" t="n">
        <f aca="false">G748</f>
        <v>42.48</v>
      </c>
      <c r="H767" s="37" t="n">
        <f aca="false">H748</f>
        <v>42.48</v>
      </c>
      <c r="I767" s="37" t="n">
        <f aca="false">I748</f>
        <v>38.08</v>
      </c>
      <c r="J767" s="37" t="n">
        <f aca="false">J748</f>
        <v>38.08</v>
      </c>
      <c r="K767" s="37" t="n">
        <f aca="false">K748</f>
        <v>38.08</v>
      </c>
      <c r="L767" s="37" t="n">
        <f aca="false">L748</f>
        <v>38.08</v>
      </c>
      <c r="M767" s="37" t="n">
        <f aca="false">M748</f>
        <v>38.08</v>
      </c>
    </row>
    <row r="768" customFormat="false" ht="15" hidden="false" customHeight="false" outlineLevel="0" collapsed="false">
      <c r="A768" s="9" t="s">
        <v>186</v>
      </c>
      <c r="B768" s="36" t="s">
        <v>55</v>
      </c>
      <c r="D768" s="43" t="n">
        <f aca="false">D765-D767</f>
        <v>61.9497</v>
      </c>
      <c r="E768" s="43" t="n">
        <f aca="false">E765-E767</f>
        <v>94.751425</v>
      </c>
      <c r="F768" s="43" t="n">
        <f aca="false">F765-F767</f>
        <v>129.89783875</v>
      </c>
      <c r="G768" s="43" t="n">
        <f aca="false">G765-G767</f>
        <v>151.76964112</v>
      </c>
      <c r="H768" s="43" t="n">
        <f aca="false">H765-H767</f>
        <v>158.6805863248</v>
      </c>
      <c r="I768" s="43" t="n">
        <f aca="false">I765-I767</f>
        <v>176.993777757369</v>
      </c>
      <c r="J768" s="43" t="n">
        <f aca="false">J765-J767</f>
        <v>184.585879589128</v>
      </c>
      <c r="K768" s="43" t="n">
        <f aca="false">K765-K767</f>
        <v>192.404152786534</v>
      </c>
      <c r="L768" s="43" t="n">
        <f aca="false">L765-L767</f>
        <v>200.45325469021</v>
      </c>
      <c r="M768" s="43" t="n">
        <f aca="false">M765-M767</f>
        <v>208.737778625986</v>
      </c>
    </row>
    <row r="769" customFormat="false" ht="15" hidden="false" customHeight="false" outlineLevel="0" collapsed="false">
      <c r="A769" s="26" t="s">
        <v>187</v>
      </c>
      <c r="B769" s="36" t="s">
        <v>55</v>
      </c>
      <c r="D769" s="37" t="n">
        <f aca="false">D759</f>
        <v>57.89625</v>
      </c>
      <c r="E769" s="37" t="n">
        <f aca="false">E759</f>
        <v>57.89625</v>
      </c>
      <c r="F769" s="37" t="n">
        <f aca="false">F759</f>
        <v>57.89625</v>
      </c>
      <c r="G769" s="37" t="n">
        <f aca="false">G759</f>
        <v>49.6253571428571</v>
      </c>
      <c r="H769" s="37" t="n">
        <f aca="false">H759</f>
        <v>41.3544642857143</v>
      </c>
      <c r="I769" s="37" t="n">
        <f aca="false">I759</f>
        <v>33.0835714285714</v>
      </c>
      <c r="J769" s="37" t="n">
        <f aca="false">J759</f>
        <v>24.8126785714286</v>
      </c>
      <c r="K769" s="37" t="n">
        <f aca="false">K759</f>
        <v>16.5417857142857</v>
      </c>
      <c r="L769" s="37" t="n">
        <f aca="false">L759</f>
        <v>8.27089285714286</v>
      </c>
      <c r="M769" s="37" t="n">
        <f aca="false">M759</f>
        <v>0</v>
      </c>
    </row>
    <row r="770" customFormat="false" ht="15" hidden="false" customHeight="false" outlineLevel="0" collapsed="false">
      <c r="A770" s="9" t="s">
        <v>188</v>
      </c>
      <c r="B770" s="36" t="s">
        <v>55</v>
      </c>
      <c r="D770" s="38" t="n">
        <f aca="false">D768-D769</f>
        <v>4.05344999999999</v>
      </c>
      <c r="E770" s="38" t="n">
        <f aca="false">E768-E769</f>
        <v>36.855175</v>
      </c>
      <c r="F770" s="38" t="n">
        <f aca="false">F768-F769</f>
        <v>72.00158875</v>
      </c>
      <c r="G770" s="38" t="n">
        <f aca="false">G768-G769</f>
        <v>102.144283977143</v>
      </c>
      <c r="H770" s="38" t="n">
        <f aca="false">H768-H769</f>
        <v>117.326122039086</v>
      </c>
      <c r="I770" s="38" t="n">
        <f aca="false">I768-I769</f>
        <v>143.910206328798</v>
      </c>
      <c r="J770" s="38" t="n">
        <f aca="false">J768-J769</f>
        <v>159.7732010177</v>
      </c>
      <c r="K770" s="38" t="n">
        <f aca="false">K768-K769</f>
        <v>175.862367072248</v>
      </c>
      <c r="L770" s="38" t="n">
        <f aca="false">L768-L769</f>
        <v>192.182361833067</v>
      </c>
      <c r="M770" s="38" t="n">
        <f aca="false">M768-M769</f>
        <v>208.737778625986</v>
      </c>
    </row>
    <row r="771" customFormat="false" ht="15" hidden="false" customHeight="false" outlineLevel="0" collapsed="false">
      <c r="A771" s="26" t="s">
        <v>189</v>
      </c>
      <c r="B771" s="36" t="s">
        <v>55</v>
      </c>
      <c r="D771" s="37" t="n">
        <f aca="false">0</f>
        <v>0</v>
      </c>
      <c r="E771" s="37" t="n">
        <f aca="false">D773</f>
        <v>0</v>
      </c>
      <c r="F771" s="37" t="n">
        <f aca="false">E773</f>
        <v>0</v>
      </c>
      <c r="G771" s="37" t="n">
        <f aca="false">F773</f>
        <v>0</v>
      </c>
      <c r="H771" s="37" t="n">
        <f aca="false">G773</f>
        <v>0</v>
      </c>
      <c r="I771" s="37" t="n">
        <f aca="false">H773</f>
        <v>0</v>
      </c>
      <c r="J771" s="37" t="n">
        <f aca="false">I773</f>
        <v>0</v>
      </c>
      <c r="K771" s="37" t="n">
        <f aca="false">J773</f>
        <v>0</v>
      </c>
      <c r="L771" s="37" t="n">
        <f aca="false">K773</f>
        <v>0</v>
      </c>
      <c r="M771" s="37" t="n">
        <f aca="false">L773</f>
        <v>0</v>
      </c>
    </row>
    <row r="772" customFormat="false" ht="15" hidden="false" customHeight="false" outlineLevel="0" collapsed="false">
      <c r="A772" s="26" t="s">
        <v>190</v>
      </c>
      <c r="B772" s="36" t="s">
        <v>55</v>
      </c>
      <c r="D772" s="37" t="n">
        <f aca="false">MAX(0,D770-D771)</f>
        <v>4.05344999999999</v>
      </c>
      <c r="E772" s="37" t="n">
        <f aca="false">MAX(0,E770-E771)</f>
        <v>36.855175</v>
      </c>
      <c r="F772" s="37" t="n">
        <f aca="false">MAX(0,F770-F771)</f>
        <v>72.00158875</v>
      </c>
      <c r="G772" s="37" t="n">
        <f aca="false">MAX(0,G770-G771)</f>
        <v>102.144283977143</v>
      </c>
      <c r="H772" s="37" t="n">
        <f aca="false">MAX(0,H770-H771)</f>
        <v>117.326122039086</v>
      </c>
      <c r="I772" s="37" t="n">
        <f aca="false">MAX(0,I770-I771)</f>
        <v>143.910206328798</v>
      </c>
      <c r="J772" s="37" t="n">
        <f aca="false">MAX(0,J770-J771)</f>
        <v>159.7732010177</v>
      </c>
      <c r="K772" s="37" t="n">
        <f aca="false">MAX(0,K770-K771)</f>
        <v>175.862367072248</v>
      </c>
      <c r="L772" s="37" t="n">
        <f aca="false">MAX(0,L770-L771)</f>
        <v>192.182361833067</v>
      </c>
      <c r="M772" s="37" t="n">
        <f aca="false">MAX(0,M770-M771)</f>
        <v>208.737778625986</v>
      </c>
    </row>
    <row r="773" customFormat="false" ht="15" hidden="false" customHeight="false" outlineLevel="0" collapsed="false">
      <c r="A773" s="26" t="s">
        <v>191</v>
      </c>
      <c r="B773" s="36" t="s">
        <v>55</v>
      </c>
      <c r="D773" s="37" t="n">
        <f aca="false">MAX(0,D771-D770)</f>
        <v>0</v>
      </c>
      <c r="E773" s="37" t="n">
        <f aca="false">MAX(0,E771-E770)</f>
        <v>0</v>
      </c>
      <c r="F773" s="37" t="n">
        <f aca="false">MAX(0,F771-F770)</f>
        <v>0</v>
      </c>
      <c r="G773" s="37" t="n">
        <f aca="false">MAX(0,G771-G770)</f>
        <v>0</v>
      </c>
      <c r="H773" s="37" t="n">
        <f aca="false">MAX(0,H771-H770)</f>
        <v>0</v>
      </c>
      <c r="I773" s="37" t="n">
        <f aca="false">MAX(0,I771-I770)</f>
        <v>0</v>
      </c>
      <c r="J773" s="37" t="n">
        <f aca="false">MAX(0,J771-J770)</f>
        <v>0</v>
      </c>
      <c r="K773" s="37" t="n">
        <f aca="false">MAX(0,K771-K770)</f>
        <v>0</v>
      </c>
      <c r="L773" s="37" t="n">
        <f aca="false">MAX(0,L771-L770)</f>
        <v>0</v>
      </c>
      <c r="M773" s="37" t="n">
        <f aca="false">MAX(0,M771-M770)</f>
        <v>0</v>
      </c>
    </row>
    <row r="774" customFormat="false" ht="15" hidden="false" customHeight="false" outlineLevel="0" collapsed="false">
      <c r="A774" s="26" t="s">
        <v>192</v>
      </c>
      <c r="B774" s="36" t="s">
        <v>55</v>
      </c>
      <c r="D774" s="37" t="n">
        <f aca="false">D772*Inputs!$C$44</f>
        <v>1.020253365</v>
      </c>
      <c r="E774" s="37" t="n">
        <f aca="false">E772*Inputs!$C$44</f>
        <v>9.2764475475</v>
      </c>
      <c r="F774" s="37" t="n">
        <f aca="false">F772*Inputs!$C$44</f>
        <v>18.122799888375</v>
      </c>
      <c r="G774" s="37" t="n">
        <f aca="false">G772*Inputs!$C$44</f>
        <v>25.7097162770468</v>
      </c>
      <c r="H774" s="37" t="n">
        <f aca="false">H772*Inputs!$C$44</f>
        <v>29.5309849172379</v>
      </c>
      <c r="I774" s="37" t="n">
        <f aca="false">I772*Inputs!$C$44</f>
        <v>36.2221989329584</v>
      </c>
      <c r="J774" s="37" t="n">
        <f aca="false">J772*Inputs!$C$44</f>
        <v>40.214914696155</v>
      </c>
      <c r="K774" s="37" t="n">
        <f aca="false">K772*Inputs!$C$44</f>
        <v>44.2645577920849</v>
      </c>
      <c r="L774" s="37" t="n">
        <f aca="false">L772*Inputs!$C$44</f>
        <v>48.3723004733829</v>
      </c>
      <c r="M774" s="37" t="n">
        <f aca="false">M772*Inputs!$C$44</f>
        <v>52.5392988801606</v>
      </c>
    </row>
    <row r="775" customFormat="false" ht="15" hidden="false" customHeight="false" outlineLevel="0" collapsed="false">
      <c r="A775" s="9" t="s">
        <v>193</v>
      </c>
      <c r="B775" s="36" t="s">
        <v>55</v>
      </c>
      <c r="D775" s="38" t="n">
        <f aca="false">D770-D774</f>
        <v>3.03319663499999</v>
      </c>
      <c r="E775" s="38" t="n">
        <f aca="false">E770-E774</f>
        <v>27.5787274525</v>
      </c>
      <c r="F775" s="38" t="n">
        <f aca="false">F770-F774</f>
        <v>53.878788861625</v>
      </c>
      <c r="G775" s="38" t="n">
        <f aca="false">G770-G774</f>
        <v>76.434567700096</v>
      </c>
      <c r="H775" s="38" t="n">
        <f aca="false">H770-H774</f>
        <v>87.7951371218478</v>
      </c>
      <c r="I775" s="38" t="n">
        <f aca="false">I770-I774</f>
        <v>107.688007395839</v>
      </c>
      <c r="J775" s="38" t="n">
        <f aca="false">J770-J774</f>
        <v>119.558286321545</v>
      </c>
      <c r="K775" s="38" t="n">
        <f aca="false">K770-K774</f>
        <v>131.597809280163</v>
      </c>
      <c r="L775" s="38" t="n">
        <f aca="false">L770-L774</f>
        <v>143.810061359684</v>
      </c>
      <c r="M775" s="38" t="n">
        <f aca="false">M770-M774</f>
        <v>156.198479745825</v>
      </c>
    </row>
    <row r="776" customFormat="false" ht="15" hidden="false" customHeight="false" outlineLevel="0" collapsed="false">
      <c r="A776" s="24" t="s">
        <v>304</v>
      </c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</row>
    <row r="777" customFormat="false" ht="15" hidden="false" customHeight="false" outlineLevel="0" collapsed="false">
      <c r="A777" s="26" t="s">
        <v>193</v>
      </c>
      <c r="B777" s="36" t="s">
        <v>55</v>
      </c>
      <c r="C777" s="37" t="n">
        <f aca="false">0</f>
        <v>0</v>
      </c>
      <c r="D777" s="37" t="n">
        <f aca="false">D775</f>
        <v>3.03319663499999</v>
      </c>
      <c r="E777" s="37" t="n">
        <f aca="false">E775</f>
        <v>27.5787274525</v>
      </c>
      <c r="F777" s="37" t="n">
        <f aca="false">F775</f>
        <v>53.878788861625</v>
      </c>
      <c r="G777" s="37" t="n">
        <f aca="false">G775</f>
        <v>76.434567700096</v>
      </c>
      <c r="H777" s="37" t="n">
        <f aca="false">H775</f>
        <v>87.7951371218478</v>
      </c>
      <c r="I777" s="37" t="n">
        <f aca="false">I775</f>
        <v>107.688007395839</v>
      </c>
      <c r="J777" s="37" t="n">
        <f aca="false">J775</f>
        <v>119.558286321545</v>
      </c>
      <c r="K777" s="37" t="n">
        <f aca="false">K775</f>
        <v>131.597809280163</v>
      </c>
      <c r="L777" s="37" t="n">
        <f aca="false">L775</f>
        <v>143.810061359684</v>
      </c>
      <c r="M777" s="37" t="n">
        <f aca="false">M775</f>
        <v>156.198479745825</v>
      </c>
    </row>
    <row r="778" customFormat="false" ht="15" hidden="false" customHeight="false" outlineLevel="0" collapsed="false">
      <c r="A778" s="26" t="s">
        <v>196</v>
      </c>
      <c r="B778" s="36" t="s">
        <v>55</v>
      </c>
      <c r="C778" s="37" t="n">
        <f aca="false">0</f>
        <v>0</v>
      </c>
      <c r="D778" s="37" t="n">
        <f aca="false">D748</f>
        <v>42.48</v>
      </c>
      <c r="E778" s="37" t="n">
        <f aca="false">E748</f>
        <v>42.48</v>
      </c>
      <c r="F778" s="37" t="n">
        <f aca="false">F748</f>
        <v>42.48</v>
      </c>
      <c r="G778" s="37" t="n">
        <f aca="false">G748</f>
        <v>42.48</v>
      </c>
      <c r="H778" s="37" t="n">
        <f aca="false">H748</f>
        <v>42.48</v>
      </c>
      <c r="I778" s="37" t="n">
        <f aca="false">I748</f>
        <v>38.08</v>
      </c>
      <c r="J778" s="37" t="n">
        <f aca="false">J748</f>
        <v>38.08</v>
      </c>
      <c r="K778" s="37" t="n">
        <f aca="false">K748</f>
        <v>38.08</v>
      </c>
      <c r="L778" s="37" t="n">
        <f aca="false">L748</f>
        <v>38.08</v>
      </c>
      <c r="M778" s="37" t="n">
        <f aca="false">M748</f>
        <v>38.08</v>
      </c>
    </row>
    <row r="779" customFormat="false" ht="15" hidden="false" customHeight="false" outlineLevel="0" collapsed="false">
      <c r="A779" s="26" t="s">
        <v>197</v>
      </c>
      <c r="B779" s="36" t="s">
        <v>55</v>
      </c>
      <c r="C779" s="37" t="n">
        <f aca="false">0</f>
        <v>0</v>
      </c>
      <c r="D779" s="37" t="n">
        <f aca="false">-(D752-C752)</f>
        <v>-22.3767123287671</v>
      </c>
      <c r="E779" s="37" t="n">
        <f aca="false">-(E752-D752)</f>
        <v>-5.12630136986302</v>
      </c>
      <c r="F779" s="37" t="n">
        <f aca="false">-(F752-E752)</f>
        <v>-5.50060273972603</v>
      </c>
      <c r="G779" s="37" t="n">
        <f aca="false">-(G752-F752)</f>
        <v>-3.60839539726027</v>
      </c>
      <c r="H779" s="37" t="n">
        <f aca="false">-(H752-G752)</f>
        <v>-1.46448047342466</v>
      </c>
      <c r="I779" s="37" t="n">
        <f aca="false">-(I752-H752)</f>
        <v>-2.51304849239672</v>
      </c>
      <c r="J779" s="37" t="n">
        <f aca="false">-(J752-I752)</f>
        <v>-1.62358163205752</v>
      </c>
      <c r="K779" s="37" t="n">
        <f aca="false">-(K752-J752)</f>
        <v>-1.68852489733982</v>
      </c>
      <c r="L779" s="37" t="n">
        <f aca="false">-(L752-K752)</f>
        <v>-1.75606589323341</v>
      </c>
      <c r="M779" s="37" t="n">
        <f aca="false">-(M752-L752)</f>
        <v>-1.82630852896274</v>
      </c>
    </row>
    <row r="780" customFormat="false" ht="15" hidden="false" customHeight="false" outlineLevel="0" collapsed="false">
      <c r="A780" s="26" t="s">
        <v>198</v>
      </c>
      <c r="B780" s="36" t="s">
        <v>55</v>
      </c>
      <c r="C780" s="37" t="n">
        <f aca="false">0</f>
        <v>0</v>
      </c>
      <c r="D780" s="37" t="n">
        <f aca="false">D753-C753</f>
        <v>6.33454520547945</v>
      </c>
      <c r="E780" s="37" t="n">
        <f aca="false">E753-D753</f>
        <v>0.721502054794522</v>
      </c>
      <c r="F780" s="37" t="n">
        <f aca="false">F753-E753</f>
        <v>0.778322157534246</v>
      </c>
      <c r="G780" s="37" t="n">
        <f aca="false">G753-F753</f>
        <v>0.607914544931508</v>
      </c>
      <c r="H780" s="37" t="n">
        <f aca="false">H753-G753</f>
        <v>0.408297422071232</v>
      </c>
      <c r="I780" s="37" t="n">
        <f aca="false">I753-H753</f>
        <v>0.531815680838689</v>
      </c>
      <c r="J780" s="37" t="n">
        <f aca="false">J753-I753</f>
        <v>0.458379384971401</v>
      </c>
      <c r="K780" s="37" t="n">
        <f aca="false">K753-J753</f>
        <v>0.483085467846156</v>
      </c>
      <c r="L780" s="37" t="n">
        <f aca="false">L753-K753</f>
        <v>0.509140576008747</v>
      </c>
      <c r="M780" s="37" t="n">
        <f aca="false">M753-L753</f>
        <v>0.536619243765276</v>
      </c>
    </row>
    <row r="781" customFormat="false" ht="15" hidden="false" customHeight="false" outlineLevel="0" collapsed="false">
      <c r="A781" s="9" t="s">
        <v>199</v>
      </c>
      <c r="B781" s="36" t="s">
        <v>55</v>
      </c>
      <c r="C781" s="38" t="n">
        <f aca="false">SUM(C777:C780)</f>
        <v>0</v>
      </c>
      <c r="D781" s="38" t="n">
        <f aca="false">SUM(D777:D780)</f>
        <v>29.4710295117123</v>
      </c>
      <c r="E781" s="38" t="n">
        <f aca="false">SUM(E777:E780)</f>
        <v>65.6539281374315</v>
      </c>
      <c r="F781" s="38" t="n">
        <f aca="false">SUM(F777:F780)</f>
        <v>91.6365082794332</v>
      </c>
      <c r="G781" s="38" t="n">
        <f aca="false">SUM(G777:G780)</f>
        <v>115.914086847767</v>
      </c>
      <c r="H781" s="38" t="n">
        <f aca="false">SUM(H777:H780)</f>
        <v>129.218954070494</v>
      </c>
      <c r="I781" s="38" t="n">
        <f aca="false">SUM(I777:I780)</f>
        <v>143.786774584281</v>
      </c>
      <c r="J781" s="38" t="n">
        <f aca="false">SUM(J777:J780)</f>
        <v>156.473084074459</v>
      </c>
      <c r="K781" s="38" t="n">
        <f aca="false">SUM(K777:K780)</f>
        <v>168.47236985067</v>
      </c>
      <c r="L781" s="38" t="n">
        <f aca="false">SUM(L777:L780)</f>
        <v>180.643136042459</v>
      </c>
      <c r="M781" s="38" t="n">
        <f aca="false">SUM(M777:M780)</f>
        <v>192.988790460628</v>
      </c>
    </row>
    <row r="782" customFormat="false" ht="15" hidden="false" customHeight="false" outlineLevel="0" collapsed="false">
      <c r="A782" s="26" t="s">
        <v>200</v>
      </c>
      <c r="B782" s="36" t="s">
        <v>55</v>
      </c>
      <c r="C782" s="37" t="n">
        <f aca="false">-C709</f>
        <v>-753.95</v>
      </c>
      <c r="D782" s="37" t="n">
        <f aca="false">0</f>
        <v>0</v>
      </c>
      <c r="E782" s="37" t="n">
        <f aca="false">0</f>
        <v>0</v>
      </c>
      <c r="F782" s="37" t="n">
        <f aca="false">0</f>
        <v>0</v>
      </c>
      <c r="G782" s="37" t="n">
        <f aca="false">0</f>
        <v>0</v>
      </c>
      <c r="H782" s="37" t="n">
        <f aca="false">0</f>
        <v>0</v>
      </c>
      <c r="I782" s="37" t="n">
        <f aca="false">0</f>
        <v>0</v>
      </c>
      <c r="J782" s="37" t="n">
        <f aca="false">0</f>
        <v>0</v>
      </c>
      <c r="K782" s="37" t="n">
        <f aca="false">0</f>
        <v>0</v>
      </c>
      <c r="L782" s="37" t="n">
        <f aca="false">0</f>
        <v>0</v>
      </c>
      <c r="M782" s="37" t="n">
        <f aca="false">0</f>
        <v>0</v>
      </c>
    </row>
    <row r="783" customFormat="false" ht="15" hidden="false" customHeight="false" outlineLevel="0" collapsed="false">
      <c r="A783" s="9" t="s">
        <v>201</v>
      </c>
      <c r="B783" s="36" t="s">
        <v>55</v>
      </c>
      <c r="C783" s="43" t="n">
        <f aca="false">C782</f>
        <v>-753.95</v>
      </c>
      <c r="D783" s="43" t="n">
        <f aca="false">D782</f>
        <v>0</v>
      </c>
      <c r="E783" s="43" t="n">
        <f aca="false">E782</f>
        <v>0</v>
      </c>
      <c r="F783" s="43" t="n">
        <f aca="false">F782</f>
        <v>0</v>
      </c>
      <c r="G783" s="43" t="n">
        <f aca="false">G782</f>
        <v>0</v>
      </c>
      <c r="H783" s="43" t="n">
        <f aca="false">H782</f>
        <v>0</v>
      </c>
      <c r="I783" s="43" t="n">
        <f aca="false">I782</f>
        <v>0</v>
      </c>
      <c r="J783" s="43" t="n">
        <f aca="false">J782</f>
        <v>0</v>
      </c>
      <c r="K783" s="43" t="n">
        <f aca="false">K782</f>
        <v>0</v>
      </c>
      <c r="L783" s="43" t="n">
        <f aca="false">L782</f>
        <v>0</v>
      </c>
      <c r="M783" s="43" t="n">
        <f aca="false">M782</f>
        <v>0</v>
      </c>
    </row>
    <row r="784" customFormat="false" ht="15" hidden="false" customHeight="false" outlineLevel="0" collapsed="false">
      <c r="A784" s="26" t="s">
        <v>202</v>
      </c>
      <c r="B784" s="36" t="s">
        <v>55</v>
      </c>
      <c r="C784" s="37" t="n">
        <f aca="false">C715</f>
        <v>308.78</v>
      </c>
      <c r="D784" s="37" t="n">
        <f aca="false">0</f>
        <v>0</v>
      </c>
      <c r="E784" s="37" t="n">
        <f aca="false">0</f>
        <v>0</v>
      </c>
      <c r="F784" s="37" t="n">
        <f aca="false">0</f>
        <v>0</v>
      </c>
      <c r="G784" s="37" t="n">
        <f aca="false">0</f>
        <v>0</v>
      </c>
      <c r="H784" s="37" t="n">
        <f aca="false">0</f>
        <v>0</v>
      </c>
      <c r="I784" s="37" t="n">
        <f aca="false">0</f>
        <v>0</v>
      </c>
      <c r="J784" s="37" t="n">
        <f aca="false">0</f>
        <v>0</v>
      </c>
      <c r="K784" s="37" t="n">
        <f aca="false">0</f>
        <v>0</v>
      </c>
      <c r="L784" s="37" t="n">
        <f aca="false">0</f>
        <v>0</v>
      </c>
      <c r="M784" s="37" t="n">
        <f aca="false">0</f>
        <v>0</v>
      </c>
    </row>
    <row r="785" customFormat="false" ht="15" hidden="false" customHeight="false" outlineLevel="0" collapsed="false">
      <c r="A785" s="26" t="s">
        <v>203</v>
      </c>
      <c r="B785" s="36" t="s">
        <v>55</v>
      </c>
      <c r="C785" s="37" t="n">
        <f aca="false">C757</f>
        <v>463.17</v>
      </c>
      <c r="D785" s="37" t="n">
        <f aca="false">D757</f>
        <v>0</v>
      </c>
      <c r="E785" s="37" t="n">
        <f aca="false">E757</f>
        <v>0</v>
      </c>
      <c r="F785" s="37" t="n">
        <f aca="false">F757</f>
        <v>0</v>
      </c>
      <c r="G785" s="37" t="n">
        <f aca="false">G757</f>
        <v>0</v>
      </c>
      <c r="H785" s="37" t="n">
        <f aca="false">H757</f>
        <v>0</v>
      </c>
      <c r="I785" s="37" t="n">
        <f aca="false">I757</f>
        <v>0</v>
      </c>
      <c r="J785" s="37" t="n">
        <f aca="false">J757</f>
        <v>0</v>
      </c>
      <c r="K785" s="37" t="n">
        <f aca="false">K757</f>
        <v>0</v>
      </c>
      <c r="L785" s="37" t="n">
        <f aca="false">L757</f>
        <v>0</v>
      </c>
      <c r="M785" s="37" t="n">
        <f aca="false">M757</f>
        <v>0</v>
      </c>
    </row>
    <row r="786" customFormat="false" ht="15" hidden="false" customHeight="false" outlineLevel="0" collapsed="false">
      <c r="A786" s="26" t="s">
        <v>204</v>
      </c>
      <c r="B786" s="36" t="s">
        <v>55</v>
      </c>
      <c r="C786" s="37" t="n">
        <f aca="false">-C760</f>
        <v>-0</v>
      </c>
      <c r="D786" s="37" t="n">
        <f aca="false">-D760</f>
        <v>-0</v>
      </c>
      <c r="E786" s="37" t="n">
        <f aca="false">-E760</f>
        <v>-0</v>
      </c>
      <c r="F786" s="37" t="n">
        <f aca="false">-F760</f>
        <v>-66.1671428571429</v>
      </c>
      <c r="G786" s="37" t="n">
        <f aca="false">-G760</f>
        <v>-66.1671428571429</v>
      </c>
      <c r="H786" s="37" t="n">
        <f aca="false">-H760</f>
        <v>-66.1671428571429</v>
      </c>
      <c r="I786" s="37" t="n">
        <f aca="false">-I760</f>
        <v>-66.1671428571429</v>
      </c>
      <c r="J786" s="37" t="n">
        <f aca="false">-J760</f>
        <v>-66.1671428571429</v>
      </c>
      <c r="K786" s="37" t="n">
        <f aca="false">-K760</f>
        <v>-66.1671428571429</v>
      </c>
      <c r="L786" s="37" t="n">
        <f aca="false">-L760</f>
        <v>-66.1671428571429</v>
      </c>
      <c r="M786" s="37" t="n">
        <f aca="false">-M760</f>
        <v>-0</v>
      </c>
    </row>
    <row r="787" customFormat="false" ht="15" hidden="false" customHeight="false" outlineLevel="0" collapsed="false">
      <c r="A787" s="9" t="s">
        <v>205</v>
      </c>
      <c r="B787" s="36" t="s">
        <v>55</v>
      </c>
      <c r="C787" s="38" t="n">
        <f aca="false">SUM(C784:C786)</f>
        <v>771.95</v>
      </c>
      <c r="D787" s="38" t="n">
        <f aca="false">SUM(D784:D786)</f>
        <v>0</v>
      </c>
      <c r="E787" s="38" t="n">
        <f aca="false">SUM(E784:E786)</f>
        <v>0</v>
      </c>
      <c r="F787" s="38" t="n">
        <f aca="false">SUM(F784:F786)</f>
        <v>-66.1671428571429</v>
      </c>
      <c r="G787" s="38" t="n">
        <f aca="false">SUM(G784:G786)</f>
        <v>-66.1671428571429</v>
      </c>
      <c r="H787" s="38" t="n">
        <f aca="false">SUM(H784:H786)</f>
        <v>-66.1671428571429</v>
      </c>
      <c r="I787" s="38" t="n">
        <f aca="false">SUM(I784:I786)</f>
        <v>-66.1671428571429</v>
      </c>
      <c r="J787" s="38" t="n">
        <f aca="false">SUM(J784:J786)</f>
        <v>-66.1671428571429</v>
      </c>
      <c r="K787" s="38" t="n">
        <f aca="false">SUM(K784:K786)</f>
        <v>-66.1671428571429</v>
      </c>
      <c r="L787" s="38" t="n">
        <f aca="false">SUM(L784:L786)</f>
        <v>-66.1671428571429</v>
      </c>
      <c r="M787" s="38" t="n">
        <f aca="false">SUM(M784:M786)</f>
        <v>0</v>
      </c>
    </row>
    <row r="788" customFormat="false" ht="15" hidden="false" customHeight="false" outlineLevel="0" collapsed="false">
      <c r="A788" s="9" t="s">
        <v>206</v>
      </c>
      <c r="B788" s="36" t="s">
        <v>55</v>
      </c>
      <c r="C788" s="43" t="n">
        <f aca="false">C781+C783+C787</f>
        <v>18</v>
      </c>
      <c r="D788" s="43" t="n">
        <f aca="false">D781+D783+D787</f>
        <v>29.4710295117123</v>
      </c>
      <c r="E788" s="43" t="n">
        <f aca="false">E781+E783+E787</f>
        <v>65.6539281374315</v>
      </c>
      <c r="F788" s="43" t="n">
        <f aca="false">F781+F783+F787</f>
        <v>25.4693654222904</v>
      </c>
      <c r="G788" s="43" t="n">
        <f aca="false">G781+G783+G787</f>
        <v>49.7469439906244</v>
      </c>
      <c r="H788" s="43" t="n">
        <f aca="false">H781+H783+H787</f>
        <v>63.0518112133516</v>
      </c>
      <c r="I788" s="43" t="n">
        <f aca="false">I781+I783+I787</f>
        <v>77.6196317271386</v>
      </c>
      <c r="J788" s="43" t="n">
        <f aca="false">J781+J783+J787</f>
        <v>90.3059412173157</v>
      </c>
      <c r="K788" s="43" t="n">
        <f aca="false">K781+K783+K787</f>
        <v>102.305226993527</v>
      </c>
      <c r="L788" s="43" t="n">
        <f aca="false">L781+L783+L787</f>
        <v>114.475993185316</v>
      </c>
      <c r="M788" s="43" t="n">
        <f aca="false">M781+M783+M787</f>
        <v>192.988790460628</v>
      </c>
    </row>
    <row r="789" customFormat="false" ht="15" hidden="false" customHeight="false" outlineLevel="0" collapsed="false">
      <c r="A789" s="26" t="s">
        <v>207</v>
      </c>
      <c r="B789" s="36" t="s">
        <v>55</v>
      </c>
      <c r="C789" s="37" t="n">
        <f aca="false">0</f>
        <v>0</v>
      </c>
      <c r="D789" s="37" t="n">
        <f aca="false">C790</f>
        <v>18</v>
      </c>
      <c r="E789" s="37" t="n">
        <f aca="false">D790</f>
        <v>47.4710295117123</v>
      </c>
      <c r="F789" s="37" t="n">
        <f aca="false">E790</f>
        <v>113.124957649144</v>
      </c>
      <c r="G789" s="37" t="n">
        <f aca="false">F790</f>
        <v>138.594323071434</v>
      </c>
      <c r="H789" s="37" t="n">
        <f aca="false">G790</f>
        <v>188.341267062059</v>
      </c>
      <c r="I789" s="37" t="n">
        <f aca="false">H790</f>
        <v>251.39307827541</v>
      </c>
      <c r="J789" s="37" t="n">
        <f aca="false">I790</f>
        <v>329.012710002549</v>
      </c>
      <c r="K789" s="37" t="n">
        <f aca="false">J790</f>
        <v>419.318651219864</v>
      </c>
      <c r="L789" s="37" t="n">
        <f aca="false">K790</f>
        <v>521.623878213391</v>
      </c>
      <c r="M789" s="37" t="n">
        <f aca="false">L790</f>
        <v>636.099871398708</v>
      </c>
    </row>
    <row r="790" customFormat="false" ht="15" hidden="false" customHeight="false" outlineLevel="0" collapsed="false">
      <c r="A790" s="9" t="s">
        <v>28</v>
      </c>
      <c r="B790" s="36" t="s">
        <v>55</v>
      </c>
      <c r="C790" s="38" t="n">
        <f aca="false">C789+C788</f>
        <v>18</v>
      </c>
      <c r="D790" s="38" t="n">
        <f aca="false">D789+D788</f>
        <v>47.4710295117123</v>
      </c>
      <c r="E790" s="38" t="n">
        <f aca="false">E789+E788</f>
        <v>113.124957649144</v>
      </c>
      <c r="F790" s="38" t="n">
        <f aca="false">F789+F788</f>
        <v>138.594323071434</v>
      </c>
      <c r="G790" s="38" t="n">
        <f aca="false">G789+G788</f>
        <v>188.341267062059</v>
      </c>
      <c r="H790" s="38" t="n">
        <f aca="false">H789+H788</f>
        <v>251.39307827541</v>
      </c>
      <c r="I790" s="38" t="n">
        <f aca="false">I789+I788</f>
        <v>329.012710002549</v>
      </c>
      <c r="J790" s="38" t="n">
        <f aca="false">J789+J788</f>
        <v>419.318651219864</v>
      </c>
      <c r="K790" s="38" t="n">
        <f aca="false">K789+K788</f>
        <v>521.623878213391</v>
      </c>
      <c r="L790" s="38" t="n">
        <f aca="false">L789+L788</f>
        <v>636.099871398708</v>
      </c>
      <c r="M790" s="38" t="n">
        <f aca="false">M789+M788</f>
        <v>829.088661859335</v>
      </c>
    </row>
    <row r="791" customFormat="false" ht="15" hidden="false" customHeight="false" outlineLevel="0" collapsed="false">
      <c r="A791" s="24" t="s">
        <v>305</v>
      </c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</row>
    <row r="792" customFormat="false" ht="15" hidden="false" customHeight="false" outlineLevel="0" collapsed="false">
      <c r="A792" s="26" t="s">
        <v>210</v>
      </c>
      <c r="B792" s="36" t="s">
        <v>55</v>
      </c>
      <c r="C792" s="37" t="n">
        <f aca="false">C749</f>
        <v>753.95</v>
      </c>
      <c r="D792" s="37" t="n">
        <f aca="false">D749</f>
        <v>711.47</v>
      </c>
      <c r="E792" s="37" t="n">
        <f aca="false">E749</f>
        <v>668.99</v>
      </c>
      <c r="F792" s="37" t="n">
        <f aca="false">F749</f>
        <v>626.51</v>
      </c>
      <c r="G792" s="37" t="n">
        <f aca="false">G749</f>
        <v>584.03</v>
      </c>
      <c r="H792" s="37" t="n">
        <f aca="false">H749</f>
        <v>541.55</v>
      </c>
      <c r="I792" s="37" t="n">
        <f aca="false">I749</f>
        <v>503.47</v>
      </c>
      <c r="J792" s="37" t="n">
        <f aca="false">J749</f>
        <v>465.39</v>
      </c>
      <c r="K792" s="37" t="n">
        <f aca="false">K749</f>
        <v>427.31</v>
      </c>
      <c r="L792" s="37" t="n">
        <f aca="false">L749</f>
        <v>389.23</v>
      </c>
      <c r="M792" s="37" t="n">
        <f aca="false">M749</f>
        <v>351.15</v>
      </c>
    </row>
    <row r="793" customFormat="false" ht="15" hidden="false" customHeight="false" outlineLevel="0" collapsed="false">
      <c r="A793" s="26" t="s">
        <v>171</v>
      </c>
      <c r="B793" s="36" t="s">
        <v>55</v>
      </c>
      <c r="C793" s="37" t="n">
        <f aca="false">C752</f>
        <v>0</v>
      </c>
      <c r="D793" s="37" t="n">
        <f aca="false">D752</f>
        <v>22.3767123287671</v>
      </c>
      <c r="E793" s="37" t="n">
        <f aca="false">E752</f>
        <v>27.5030136986301</v>
      </c>
      <c r="F793" s="37" t="n">
        <f aca="false">F752</f>
        <v>33.0036164383562</v>
      </c>
      <c r="G793" s="37" t="n">
        <f aca="false">G752</f>
        <v>36.6120118356164</v>
      </c>
      <c r="H793" s="37" t="n">
        <f aca="false">H752</f>
        <v>38.0764923090411</v>
      </c>
      <c r="I793" s="37" t="n">
        <f aca="false">I752</f>
        <v>40.5895408014378</v>
      </c>
      <c r="J793" s="37" t="n">
        <f aca="false">J752</f>
        <v>42.2131224334953</v>
      </c>
      <c r="K793" s="37" t="n">
        <f aca="false">K752</f>
        <v>43.9016473308352</v>
      </c>
      <c r="L793" s="37" t="n">
        <f aca="false">L752</f>
        <v>45.6577132240686</v>
      </c>
      <c r="M793" s="37" t="n">
        <f aca="false">M752</f>
        <v>47.4840217530313</v>
      </c>
    </row>
    <row r="794" customFormat="false" ht="15" hidden="false" customHeight="false" outlineLevel="0" collapsed="false">
      <c r="A794" s="26" t="s">
        <v>211</v>
      </c>
      <c r="B794" s="36" t="s">
        <v>55</v>
      </c>
      <c r="C794" s="37" t="n">
        <f aca="false">C790</f>
        <v>18</v>
      </c>
      <c r="D794" s="37" t="n">
        <f aca="false">D790</f>
        <v>47.4710295117123</v>
      </c>
      <c r="E794" s="37" t="n">
        <f aca="false">E790</f>
        <v>113.124957649144</v>
      </c>
      <c r="F794" s="37" t="n">
        <f aca="false">F790</f>
        <v>138.594323071434</v>
      </c>
      <c r="G794" s="37" t="n">
        <f aca="false">G790</f>
        <v>188.341267062059</v>
      </c>
      <c r="H794" s="37" t="n">
        <f aca="false">H790</f>
        <v>251.39307827541</v>
      </c>
      <c r="I794" s="37" t="n">
        <f aca="false">I790</f>
        <v>329.012710002549</v>
      </c>
      <c r="J794" s="37" t="n">
        <f aca="false">J790</f>
        <v>419.318651219864</v>
      </c>
      <c r="K794" s="37" t="n">
        <f aca="false">K790</f>
        <v>521.623878213391</v>
      </c>
      <c r="L794" s="37" t="n">
        <f aca="false">L790</f>
        <v>636.099871398708</v>
      </c>
      <c r="M794" s="37" t="n">
        <f aca="false">M790</f>
        <v>829.088661859335</v>
      </c>
    </row>
    <row r="795" customFormat="false" ht="15" hidden="false" customHeight="false" outlineLevel="0" collapsed="false">
      <c r="A795" s="9" t="s">
        <v>212</v>
      </c>
      <c r="B795" s="36" t="s">
        <v>55</v>
      </c>
      <c r="C795" s="38" t="n">
        <f aca="false">SUM(C792:C794)</f>
        <v>771.95</v>
      </c>
      <c r="D795" s="38" t="n">
        <f aca="false">SUM(D792:D794)</f>
        <v>781.31774184048</v>
      </c>
      <c r="E795" s="38" t="n">
        <f aca="false">SUM(E792:E794)</f>
        <v>809.617971347774</v>
      </c>
      <c r="F795" s="38" t="n">
        <f aca="false">SUM(F792:F794)</f>
        <v>798.10793950979</v>
      </c>
      <c r="G795" s="38" t="n">
        <f aca="false">SUM(G792:G794)</f>
        <v>808.983278897675</v>
      </c>
      <c r="H795" s="38" t="n">
        <f aca="false">SUM(H792:H794)</f>
        <v>831.019570584451</v>
      </c>
      <c r="I795" s="38" t="n">
        <f aca="false">SUM(I792:I794)</f>
        <v>873.072250803986</v>
      </c>
      <c r="J795" s="38" t="n">
        <f aca="false">SUM(J792:J794)</f>
        <v>926.92177365336</v>
      </c>
      <c r="K795" s="38" t="n">
        <f aca="false">SUM(K792:K794)</f>
        <v>992.835525544227</v>
      </c>
      <c r="L795" s="38" t="n">
        <f aca="false">SUM(L792:L794)</f>
        <v>1070.98758462278</v>
      </c>
      <c r="M795" s="38" t="n">
        <f aca="false">SUM(M792:M794)</f>
        <v>1227.72268361237</v>
      </c>
    </row>
    <row r="796" customFormat="false" ht="15" hidden="false" customHeight="false" outlineLevel="0" collapsed="false">
      <c r="A796" s="26" t="s">
        <v>213</v>
      </c>
      <c r="B796" s="36" t="s">
        <v>55</v>
      </c>
      <c r="C796" s="37" t="n">
        <f aca="false">C784</f>
        <v>308.78</v>
      </c>
      <c r="D796" s="37" t="n">
        <f aca="false">C796+D784</f>
        <v>308.78</v>
      </c>
      <c r="E796" s="37" t="n">
        <f aca="false">D796+E784</f>
        <v>308.78</v>
      </c>
      <c r="F796" s="37" t="n">
        <f aca="false">E796+F784</f>
        <v>308.78</v>
      </c>
      <c r="G796" s="37" t="n">
        <f aca="false">F796+G784</f>
        <v>308.78</v>
      </c>
      <c r="H796" s="37" t="n">
        <f aca="false">G796+H784</f>
        <v>308.78</v>
      </c>
      <c r="I796" s="37" t="n">
        <f aca="false">H796+I784</f>
        <v>308.78</v>
      </c>
      <c r="J796" s="37" t="n">
        <f aca="false">I796+J784</f>
        <v>308.78</v>
      </c>
      <c r="K796" s="37" t="n">
        <f aca="false">J796+K784</f>
        <v>308.78</v>
      </c>
      <c r="L796" s="37" t="n">
        <f aca="false">K796+L784</f>
        <v>308.78</v>
      </c>
      <c r="M796" s="37" t="n">
        <f aca="false">L796+M784</f>
        <v>308.78</v>
      </c>
    </row>
    <row r="797" customFormat="false" ht="15" hidden="false" customHeight="false" outlineLevel="0" collapsed="false">
      <c r="A797" s="26" t="s">
        <v>214</v>
      </c>
      <c r="B797" s="36" t="s">
        <v>55</v>
      </c>
      <c r="C797" s="37" t="n">
        <f aca="false">C777</f>
        <v>0</v>
      </c>
      <c r="D797" s="37" t="n">
        <f aca="false">C797+D777</f>
        <v>3.03319663499999</v>
      </c>
      <c r="E797" s="37" t="n">
        <f aca="false">D797+E777</f>
        <v>30.6119240875</v>
      </c>
      <c r="F797" s="37" t="n">
        <f aca="false">E797+F777</f>
        <v>84.490712949125</v>
      </c>
      <c r="G797" s="37" t="n">
        <f aca="false">F797+G777</f>
        <v>160.925280649221</v>
      </c>
      <c r="H797" s="37" t="n">
        <f aca="false">G797+H777</f>
        <v>248.720417771069</v>
      </c>
      <c r="I797" s="37" t="n">
        <f aca="false">H797+I777</f>
        <v>356.408425166908</v>
      </c>
      <c r="J797" s="37" t="n">
        <f aca="false">I797+J777</f>
        <v>475.966711488453</v>
      </c>
      <c r="K797" s="37" t="n">
        <f aca="false">J797+K777</f>
        <v>607.564520768616</v>
      </c>
      <c r="L797" s="37" t="n">
        <f aca="false">K797+L777</f>
        <v>751.3745821283</v>
      </c>
      <c r="M797" s="37" t="n">
        <f aca="false">L797+M777</f>
        <v>907.573061874125</v>
      </c>
    </row>
    <row r="798" customFormat="false" ht="15" hidden="false" customHeight="false" outlineLevel="0" collapsed="false">
      <c r="A798" s="26" t="s">
        <v>17</v>
      </c>
      <c r="B798" s="36" t="s">
        <v>55</v>
      </c>
      <c r="C798" s="37" t="n">
        <f aca="false">C761</f>
        <v>463.17</v>
      </c>
      <c r="D798" s="37" t="n">
        <f aca="false">D761</f>
        <v>463.17</v>
      </c>
      <c r="E798" s="37" t="n">
        <f aca="false">E761</f>
        <v>463.17</v>
      </c>
      <c r="F798" s="37" t="n">
        <f aca="false">F761</f>
        <v>397.002857142857</v>
      </c>
      <c r="G798" s="37" t="n">
        <f aca="false">G761</f>
        <v>330.835714285714</v>
      </c>
      <c r="H798" s="37" t="n">
        <f aca="false">H761</f>
        <v>264.668571428571</v>
      </c>
      <c r="I798" s="37" t="n">
        <f aca="false">I761</f>
        <v>198.501428571429</v>
      </c>
      <c r="J798" s="37" t="n">
        <f aca="false">J761</f>
        <v>132.334285714286</v>
      </c>
      <c r="K798" s="37" t="n">
        <f aca="false">K761</f>
        <v>66.1671428571429</v>
      </c>
      <c r="L798" s="37" t="n">
        <f aca="false">L761</f>
        <v>0</v>
      </c>
      <c r="M798" s="37" t="n">
        <f aca="false">M761</f>
        <v>0</v>
      </c>
    </row>
    <row r="799" customFormat="false" ht="15" hidden="false" customHeight="false" outlineLevel="0" collapsed="false">
      <c r="A799" s="26" t="s">
        <v>172</v>
      </c>
      <c r="B799" s="36" t="s">
        <v>55</v>
      </c>
      <c r="C799" s="37" t="n">
        <f aca="false">C753</f>
        <v>0</v>
      </c>
      <c r="D799" s="37" t="n">
        <f aca="false">D753</f>
        <v>6.33454520547945</v>
      </c>
      <c r="E799" s="37" t="n">
        <f aca="false">E753</f>
        <v>7.05604726027397</v>
      </c>
      <c r="F799" s="37" t="n">
        <f aca="false">F753</f>
        <v>7.83436941780822</v>
      </c>
      <c r="G799" s="37" t="n">
        <f aca="false">G753</f>
        <v>8.44228396273973</v>
      </c>
      <c r="H799" s="37" t="n">
        <f aca="false">H753</f>
        <v>8.85058138481096</v>
      </c>
      <c r="I799" s="37" t="n">
        <f aca="false">I753</f>
        <v>9.38239706564965</v>
      </c>
      <c r="J799" s="37" t="n">
        <f aca="false">J753</f>
        <v>9.84077645062105</v>
      </c>
      <c r="K799" s="37" t="n">
        <f aca="false">K753</f>
        <v>10.3238619184672</v>
      </c>
      <c r="L799" s="37" t="n">
        <f aca="false">L753</f>
        <v>10.833002494476</v>
      </c>
      <c r="M799" s="37" t="n">
        <f aca="false">M753</f>
        <v>11.3696217382412</v>
      </c>
    </row>
    <row r="800" customFormat="false" ht="15" hidden="false" customHeight="false" outlineLevel="0" collapsed="false">
      <c r="A800" s="9" t="s">
        <v>215</v>
      </c>
      <c r="B800" s="36" t="s">
        <v>55</v>
      </c>
      <c r="C800" s="38" t="n">
        <f aca="false">SUM(C796:C799)</f>
        <v>771.95</v>
      </c>
      <c r="D800" s="38" t="n">
        <f aca="false">SUM(D796:D799)</f>
        <v>781.31774184048</v>
      </c>
      <c r="E800" s="38" t="n">
        <f aca="false">SUM(E796:E799)</f>
        <v>809.617971347774</v>
      </c>
      <c r="F800" s="38" t="n">
        <f aca="false">SUM(F796:F799)</f>
        <v>798.10793950979</v>
      </c>
      <c r="G800" s="38" t="n">
        <f aca="false">SUM(G796:G799)</f>
        <v>808.983278897675</v>
      </c>
      <c r="H800" s="38" t="n">
        <f aca="false">SUM(H796:H799)</f>
        <v>831.019570584451</v>
      </c>
      <c r="I800" s="38" t="n">
        <f aca="false">SUM(I796:I799)</f>
        <v>873.072250803987</v>
      </c>
      <c r="J800" s="38" t="n">
        <f aca="false">SUM(J796:J799)</f>
        <v>926.92177365336</v>
      </c>
      <c r="K800" s="38" t="n">
        <f aca="false">SUM(K796:K799)</f>
        <v>992.835525544227</v>
      </c>
      <c r="L800" s="38" t="n">
        <f aca="false">SUM(L796:L799)</f>
        <v>1070.98758462278</v>
      </c>
      <c r="M800" s="38" t="n">
        <f aca="false">SUM(M796:M799)</f>
        <v>1227.72268361237</v>
      </c>
    </row>
    <row r="801" customFormat="false" ht="15" hidden="false" customHeight="false" outlineLevel="0" collapsed="false">
      <c r="A801" s="26" t="s">
        <v>216</v>
      </c>
      <c r="B801" s="36" t="s">
        <v>55</v>
      </c>
      <c r="C801" s="37" t="n">
        <f aca="false">ROUND(C795-C800,6)</f>
        <v>0</v>
      </c>
      <c r="D801" s="37" t="n">
        <f aca="false">ROUND(D795-D800,6)</f>
        <v>0</v>
      </c>
      <c r="E801" s="37" t="n">
        <f aca="false">ROUND(E795-E800,6)</f>
        <v>0</v>
      </c>
      <c r="F801" s="37" t="n">
        <f aca="false">ROUND(F795-F800,6)</f>
        <v>0</v>
      </c>
      <c r="G801" s="37" t="n">
        <f aca="false">ROUND(G795-G800,6)</f>
        <v>0</v>
      </c>
      <c r="H801" s="37" t="n">
        <f aca="false">ROUND(H795-H800,6)</f>
        <v>0</v>
      </c>
      <c r="I801" s="37" t="n">
        <f aca="false">ROUND(I795-I800,6)</f>
        <v>0</v>
      </c>
      <c r="J801" s="37" t="n">
        <f aca="false">ROUND(J795-J800,6)</f>
        <v>0</v>
      </c>
      <c r="K801" s="37" t="n">
        <f aca="false">ROUND(K795-K800,6)</f>
        <v>0</v>
      </c>
      <c r="L801" s="37" t="n">
        <f aca="false">ROUND(L795-L800,6)</f>
        <v>0</v>
      </c>
      <c r="M801" s="37" t="n">
        <f aca="false">ROUND(M795-M800,6)</f>
        <v>0</v>
      </c>
    </row>
    <row r="802" customFormat="false" ht="15" hidden="false" customHeight="false" outlineLevel="0" collapsed="false">
      <c r="A802" s="24" t="s">
        <v>306</v>
      </c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</row>
    <row r="803" customFormat="false" ht="15" hidden="false" customHeight="false" outlineLevel="0" collapsed="false">
      <c r="A803" s="26" t="s">
        <v>219</v>
      </c>
      <c r="B803" s="36" t="s">
        <v>55</v>
      </c>
      <c r="D803" s="37" t="n">
        <f aca="false">D775+D748+D759</f>
        <v>103.409446635</v>
      </c>
      <c r="E803" s="37" t="n">
        <f aca="false">E775+E748+E759</f>
        <v>127.9549774525</v>
      </c>
      <c r="F803" s="37" t="n">
        <f aca="false">F775+F748+F759</f>
        <v>154.255038861625</v>
      </c>
      <c r="G803" s="37" t="n">
        <f aca="false">G775+G748+G759</f>
        <v>168.539924842953</v>
      </c>
      <c r="H803" s="37" t="n">
        <f aca="false">H775+H748+H759</f>
        <v>171.629601407562</v>
      </c>
      <c r="I803" s="37" t="n">
        <f aca="false">I775+I748+I759</f>
        <v>178.851578824411</v>
      </c>
      <c r="J803" s="37" t="n">
        <f aca="false">J775+J748+J759</f>
        <v>182.450964892973</v>
      </c>
      <c r="K803" s="37" t="n">
        <f aca="false">K775+K748+K759</f>
        <v>186.219594994449</v>
      </c>
      <c r="L803" s="37" t="n">
        <f aca="false">L775+L748+L759</f>
        <v>190.160954216827</v>
      </c>
      <c r="M803" s="37" t="n">
        <f aca="false">M775+M748+M759</f>
        <v>194.278479745825</v>
      </c>
    </row>
    <row r="804" customFormat="false" ht="15" hidden="false" customHeight="false" outlineLevel="0" collapsed="false">
      <c r="A804" s="26" t="s">
        <v>220</v>
      </c>
      <c r="B804" s="36" t="s">
        <v>55</v>
      </c>
      <c r="D804" s="37" t="n">
        <f aca="false">D759+D760</f>
        <v>57.89625</v>
      </c>
      <c r="E804" s="37" t="n">
        <f aca="false">E759+E760</f>
        <v>57.89625</v>
      </c>
      <c r="F804" s="37" t="n">
        <f aca="false">F759+F760</f>
        <v>124.063392857143</v>
      </c>
      <c r="G804" s="37" t="n">
        <f aca="false">G759+G760</f>
        <v>115.7925</v>
      </c>
      <c r="H804" s="37" t="n">
        <f aca="false">H759+H760</f>
        <v>107.521607142857</v>
      </c>
      <c r="I804" s="37" t="n">
        <f aca="false">I759+I760</f>
        <v>99.2507142857143</v>
      </c>
      <c r="J804" s="37" t="n">
        <f aca="false">J759+J760</f>
        <v>90.9798214285714</v>
      </c>
      <c r="K804" s="37" t="n">
        <f aca="false">K759+K760</f>
        <v>82.7089285714286</v>
      </c>
      <c r="L804" s="37" t="n">
        <f aca="false">L759+L760</f>
        <v>74.4380357142857</v>
      </c>
      <c r="M804" s="37" t="n">
        <f aca="false">M759+M760</f>
        <v>0</v>
      </c>
    </row>
    <row r="805" customFormat="false" ht="15" hidden="false" customHeight="false" outlineLevel="0" collapsed="false">
      <c r="A805" s="26" t="s">
        <v>24</v>
      </c>
      <c r="B805" s="36" t="s">
        <v>104</v>
      </c>
      <c r="D805" s="39" t="n">
        <f aca="false">IF(D804&gt;0,D803/D804,"")</f>
        <v>1.78611648656001</v>
      </c>
      <c r="E805" s="39" t="n">
        <f aca="false">IF(E804&gt;0,E803/E804,"")</f>
        <v>2.21007366543602</v>
      </c>
      <c r="F805" s="39" t="n">
        <f aca="false">IF(F804&gt;0,F803/F804,"")</f>
        <v>1.2433566043067</v>
      </c>
      <c r="G805" s="39" t="n">
        <f aca="false">IF(G804&gt;0,G803/G804,"")</f>
        <v>1.4555340358223</v>
      </c>
      <c r="H805" s="39" t="n">
        <f aca="false">IF(H804&gt;0,H803/H804,"")</f>
        <v>1.59623359404895</v>
      </c>
      <c r="I805" s="39" t="n">
        <f aca="false">IF(I804&gt;0,I803/I804,"")</f>
        <v>1.80201805207717</v>
      </c>
      <c r="J805" s="39" t="n">
        <f aca="false">IF(J804&gt;0,J803/J804,"")</f>
        <v>2.00540034073617</v>
      </c>
      <c r="K805" s="39" t="n">
        <f aca="false">IF(K804&gt;0,K803/K804,"")</f>
        <v>2.25150534786129</v>
      </c>
      <c r="L805" s="39" t="n">
        <f aca="false">IF(L804&gt;0,L803/L804,"")</f>
        <v>2.55462079825317</v>
      </c>
      <c r="M805" s="39" t="str">
        <f aca="false">IF(M804&gt;0,M803/M804,"")</f>
        <v/>
      </c>
    </row>
    <row r="806" customFormat="false" ht="15" hidden="false" customHeight="false" outlineLevel="0" collapsed="false">
      <c r="A806" s="9" t="s">
        <v>221</v>
      </c>
      <c r="B806" s="36" t="s">
        <v>104</v>
      </c>
      <c r="C806" s="44" t="n">
        <f aca="false">MIN(D805:M805)</f>
        <v>1.2433566043067</v>
      </c>
    </row>
    <row r="807" customFormat="false" ht="15" hidden="false" customHeight="false" outlineLevel="0" collapsed="false">
      <c r="A807" s="9" t="s">
        <v>222</v>
      </c>
      <c r="B807" s="36" t="s">
        <v>104</v>
      </c>
      <c r="C807" s="44" t="n">
        <f aca="false">AVERAGE(D805:M805)</f>
        <v>1.87831765834464</v>
      </c>
    </row>
    <row r="809" customFormat="false" ht="15" hidden="false" customHeight="false" outlineLevel="0" collapsed="false">
      <c r="A809" s="24" t="s">
        <v>223</v>
      </c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</row>
    <row r="810" customFormat="false" ht="15" hidden="false" customHeight="false" outlineLevel="0" collapsed="false">
      <c r="A810" s="26" t="s">
        <v>224</v>
      </c>
      <c r="B810" s="36" t="s">
        <v>55</v>
      </c>
      <c r="D810" s="37" t="n">
        <f aca="false">MAX(0,D768)*Inputs!$C$44</f>
        <v>15.59273949</v>
      </c>
      <c r="E810" s="37" t="n">
        <f aca="false">MAX(0,E768)*Inputs!$C$44</f>
        <v>23.8489336725</v>
      </c>
      <c r="F810" s="37" t="n">
        <f aca="false">MAX(0,F768)*Inputs!$C$44</f>
        <v>32.695286013375</v>
      </c>
      <c r="G810" s="37" t="n">
        <f aca="false">MAX(0,G768)*Inputs!$C$44</f>
        <v>38.200418669904</v>
      </c>
      <c r="H810" s="37" t="n">
        <f aca="false">MAX(0,H768)*Inputs!$C$44</f>
        <v>39.9399035779522</v>
      </c>
      <c r="I810" s="37" t="n">
        <f aca="false">MAX(0,I768)*Inputs!$C$44</f>
        <v>44.5493338615299</v>
      </c>
      <c r="J810" s="37" t="n">
        <f aca="false">MAX(0,J768)*Inputs!$C$44</f>
        <v>46.4602658925836</v>
      </c>
      <c r="K810" s="37" t="n">
        <f aca="false">MAX(0,K768)*Inputs!$C$44</f>
        <v>48.4281252563706</v>
      </c>
      <c r="L810" s="37" t="n">
        <f aca="false">MAX(0,L768)*Inputs!$C$44</f>
        <v>50.4540842055258</v>
      </c>
      <c r="M810" s="37" t="n">
        <f aca="false">MAX(0,M768)*Inputs!$C$44</f>
        <v>52.5392988801606</v>
      </c>
    </row>
    <row r="811" customFormat="false" ht="15" hidden="false" customHeight="false" outlineLevel="0" collapsed="false">
      <c r="A811" s="26" t="s">
        <v>225</v>
      </c>
      <c r="B811" s="36" t="s">
        <v>55</v>
      </c>
      <c r="D811" s="37" t="n">
        <f aca="false">D754-C754</f>
        <v>16.0421671232877</v>
      </c>
      <c r="E811" s="37" t="n">
        <f aca="false">E754-D754</f>
        <v>4.40479931506849</v>
      </c>
      <c r="F811" s="37" t="n">
        <f aca="false">F754-E754</f>
        <v>4.72228058219179</v>
      </c>
      <c r="G811" s="37" t="n">
        <f aca="false">G754-F754</f>
        <v>3.00048085232876</v>
      </c>
      <c r="H811" s="37" t="n">
        <f aca="false">H754-G754</f>
        <v>1.05618305135343</v>
      </c>
      <c r="I811" s="37" t="n">
        <f aca="false">I754-H754</f>
        <v>1.98123281155803</v>
      </c>
      <c r="J811" s="37" t="n">
        <f aca="false">J754-I754</f>
        <v>1.16520224708611</v>
      </c>
      <c r="K811" s="37" t="n">
        <f aca="false">K754-J754</f>
        <v>1.20543942949367</v>
      </c>
      <c r="L811" s="37" t="n">
        <f aca="false">L754-K754</f>
        <v>1.24692531722465</v>
      </c>
      <c r="M811" s="37" t="n">
        <f aca="false">M754-L754</f>
        <v>1.28968928519747</v>
      </c>
    </row>
    <row r="812" customFormat="false" ht="15" hidden="false" customHeight="false" outlineLevel="0" collapsed="false">
      <c r="A812" s="26" t="s">
        <v>226</v>
      </c>
      <c r="B812" s="36" t="s">
        <v>55</v>
      </c>
      <c r="D812" s="37" t="n">
        <f aca="false">0</f>
        <v>0</v>
      </c>
      <c r="E812" s="37" t="n">
        <f aca="false">0</f>
        <v>0</v>
      </c>
      <c r="F812" s="37" t="n">
        <f aca="false">0</f>
        <v>0</v>
      </c>
      <c r="G812" s="37" t="n">
        <f aca="false">0</f>
        <v>0</v>
      </c>
      <c r="H812" s="37" t="n">
        <f aca="false">0</f>
        <v>0</v>
      </c>
      <c r="I812" s="37" t="n">
        <f aca="false">0</f>
        <v>0</v>
      </c>
      <c r="J812" s="37" t="n">
        <f aca="false">0</f>
        <v>0</v>
      </c>
      <c r="K812" s="37" t="n">
        <f aca="false">0</f>
        <v>0</v>
      </c>
      <c r="L812" s="37" t="n">
        <f aca="false">0</f>
        <v>0</v>
      </c>
      <c r="M812" s="37" t="n">
        <f aca="false">M749*Inputs!$C$52+M754</f>
        <v>211.68940001479</v>
      </c>
    </row>
    <row r="813" customFormat="false" ht="15" hidden="false" customHeight="false" outlineLevel="0" collapsed="false">
      <c r="A813" s="9" t="s">
        <v>227</v>
      </c>
      <c r="B813" s="36" t="s">
        <v>55</v>
      </c>
      <c r="C813" s="38" t="n">
        <f aca="false">-C709</f>
        <v>-753.95</v>
      </c>
      <c r="D813" s="38" t="n">
        <f aca="false">D742-D810-D811+D812</f>
        <v>72.7947933867123</v>
      </c>
      <c r="E813" s="38" t="n">
        <f aca="false">E742-E810-E811+E812</f>
        <v>108.977692012432</v>
      </c>
      <c r="F813" s="38" t="n">
        <f aca="false">F742-F810-F811+F812</f>
        <v>134.960272154433</v>
      </c>
      <c r="G813" s="38" t="n">
        <f aca="false">G742-G810-G811+G812</f>
        <v>153.048741597767</v>
      </c>
      <c r="H813" s="38" t="n">
        <f aca="false">H742-H810-H811+H812</f>
        <v>160.164499695494</v>
      </c>
      <c r="I813" s="38" t="n">
        <f aca="false">I742-I810-I811+I812</f>
        <v>168.543211084281</v>
      </c>
      <c r="J813" s="38" t="n">
        <f aca="false">J742-J810-J811+J812</f>
        <v>175.040411449459</v>
      </c>
      <c r="K813" s="38" t="n">
        <f aca="false">K742-K810-K811+K812</f>
        <v>180.85058810067</v>
      </c>
      <c r="L813" s="38" t="n">
        <f aca="false">L742-L810-L811+L812</f>
        <v>186.832245167459</v>
      </c>
      <c r="M813" s="38" t="n">
        <f aca="false">M742-M810-M811+M812</f>
        <v>404.678190475418</v>
      </c>
    </row>
    <row r="814" customFormat="false" ht="15" hidden="false" customHeight="false" outlineLevel="0" collapsed="false">
      <c r="A814" s="26" t="s">
        <v>228</v>
      </c>
      <c r="B814" s="36" t="s">
        <v>55</v>
      </c>
      <c r="C814" s="37" t="n">
        <f aca="false">C813</f>
        <v>-753.95</v>
      </c>
      <c r="D814" s="37" t="n">
        <f aca="false">C814+D813</f>
        <v>-681.155206613288</v>
      </c>
      <c r="E814" s="37" t="n">
        <f aca="false">D814+E813</f>
        <v>-572.177514600856</v>
      </c>
      <c r="F814" s="37" t="n">
        <f aca="false">E814+F813</f>
        <v>-437.217242446423</v>
      </c>
      <c r="G814" s="37" t="n">
        <f aca="false">F814+G813</f>
        <v>-284.168500848656</v>
      </c>
      <c r="H814" s="37" t="n">
        <f aca="false">G814+H813</f>
        <v>-124.004001153161</v>
      </c>
      <c r="I814" s="37" t="n">
        <f aca="false">H814+I813</f>
        <v>44.53920993112</v>
      </c>
      <c r="J814" s="37" t="n">
        <f aca="false">I814+J813</f>
        <v>219.579621380579</v>
      </c>
      <c r="K814" s="37" t="n">
        <f aca="false">J814+K813</f>
        <v>400.430209481248</v>
      </c>
      <c r="L814" s="37" t="n">
        <f aca="false">K814+L813</f>
        <v>587.262454648708</v>
      </c>
      <c r="M814" s="37" t="n">
        <f aca="false">L814+M813</f>
        <v>991.940645124125</v>
      </c>
    </row>
    <row r="815" customFormat="false" ht="15" hidden="false" customHeight="false" outlineLevel="0" collapsed="false">
      <c r="A815" s="26" t="s">
        <v>229</v>
      </c>
      <c r="B815" s="36" t="s">
        <v>55</v>
      </c>
      <c r="C815" s="37" t="n">
        <f aca="false">C813/(1+Inputs!$C$50)^Inputs!C$6</f>
        <v>-753.95</v>
      </c>
      <c r="D815" s="37" t="n">
        <f aca="false">D813/(1+Inputs!$C$50)^Inputs!D$6</f>
        <v>65.5808949429841</v>
      </c>
      <c r="E815" s="37" t="n">
        <f aca="false">E813/(1+Inputs!$C$50)^Inputs!E$6</f>
        <v>88.4487395604509</v>
      </c>
      <c r="F815" s="37" t="n">
        <f aca="false">F813/(1+Inputs!$C$50)^Inputs!F$6</f>
        <v>98.6817878173522</v>
      </c>
      <c r="G815" s="37" t="n">
        <f aca="false">G813/(1+Inputs!$C$50)^Inputs!G$6</f>
        <v>100.817946644364</v>
      </c>
      <c r="H815" s="37" t="n">
        <f aca="false">H813/(1+Inputs!$C$50)^Inputs!H$6</f>
        <v>95.0498350521258</v>
      </c>
      <c r="I815" s="37" t="n">
        <f aca="false">I813/(1+Inputs!$C$50)^Inputs!I$6</f>
        <v>90.1100832911899</v>
      </c>
      <c r="J815" s="37" t="n">
        <f aca="false">J813/(1+Inputs!$C$50)^Inputs!J$6</f>
        <v>84.3096864204185</v>
      </c>
      <c r="K815" s="37" t="n">
        <f aca="false">K813/(1+Inputs!$C$50)^Inputs!K$6</f>
        <v>78.4758620479602</v>
      </c>
      <c r="L815" s="37" t="n">
        <f aca="false">L813/(1+Inputs!$C$50)^Inputs!L$6</f>
        <v>73.0373527396472</v>
      </c>
      <c r="M815" s="37" t="n">
        <f aca="false">M813/(1+Inputs!$C$50)^Inputs!M$6</f>
        <v>142.521377583979</v>
      </c>
    </row>
    <row r="816" customFormat="false" ht="15" hidden="false" customHeight="false" outlineLevel="0" collapsed="false">
      <c r="A816" s="26" t="s">
        <v>230</v>
      </c>
      <c r="B816" s="36" t="s">
        <v>55</v>
      </c>
      <c r="C816" s="37" t="n">
        <f aca="false">C815</f>
        <v>-753.95</v>
      </c>
      <c r="D816" s="37" t="n">
        <f aca="false">C816+D815</f>
        <v>-688.369105057016</v>
      </c>
      <c r="E816" s="37" t="n">
        <f aca="false">D816+E815</f>
        <v>-599.920365496565</v>
      </c>
      <c r="F816" s="37" t="n">
        <f aca="false">E816+F815</f>
        <v>-501.238577679213</v>
      </c>
      <c r="G816" s="37" t="n">
        <f aca="false">F816+G815</f>
        <v>-400.420631034849</v>
      </c>
      <c r="H816" s="37" t="n">
        <f aca="false">G816+H815</f>
        <v>-305.370795982724</v>
      </c>
      <c r="I816" s="37" t="n">
        <f aca="false">H816+I815</f>
        <v>-215.260712691534</v>
      </c>
      <c r="J816" s="37" t="n">
        <f aca="false">I816+J815</f>
        <v>-130.951026271115</v>
      </c>
      <c r="K816" s="37" t="n">
        <f aca="false">J816+K815</f>
        <v>-52.475164223155</v>
      </c>
      <c r="L816" s="37" t="n">
        <f aca="false">K816+L815</f>
        <v>20.5621885164922</v>
      </c>
      <c r="M816" s="37" t="n">
        <f aca="false">L816+M815</f>
        <v>163.083566100472</v>
      </c>
    </row>
    <row r="817" customFormat="false" ht="15" hidden="false" customHeight="false" outlineLevel="0" collapsed="false">
      <c r="A817" s="26" t="s">
        <v>231</v>
      </c>
      <c r="B817" s="36" t="s">
        <v>69</v>
      </c>
      <c r="D817" s="45" t="str">
        <f aca="false">IF(AND(C814&lt;0,D814&gt;=0),Inputs!D$6-1+(-C814)/D813,"")</f>
        <v/>
      </c>
      <c r="E817" s="45" t="str">
        <f aca="false">IF(AND(D814&lt;0,E814&gt;=0),Inputs!E$6-1+(-D814)/E813,"")</f>
        <v/>
      </c>
      <c r="F817" s="45" t="str">
        <f aca="false">IF(AND(E814&lt;0,F814&gt;=0),Inputs!F$6-1+(-E814)/F813,"")</f>
        <v/>
      </c>
      <c r="G817" s="45" t="str">
        <f aca="false">IF(AND(F814&lt;0,G814&gt;=0),Inputs!G$6-1+(-F814)/G813,"")</f>
        <v/>
      </c>
      <c r="H817" s="45" t="str">
        <f aca="false">IF(AND(G814&lt;0,H814&gt;=0),Inputs!H$6-1+(-G814)/H813,"")</f>
        <v/>
      </c>
      <c r="I817" s="45" t="n">
        <f aca="false">IF(AND(H814&lt;0,I814&gt;=0),Inputs!I$6-1+(-H814)/I813,"")</f>
        <v>5.7357401129088</v>
      </c>
      <c r="J817" s="45" t="str">
        <f aca="false">IF(AND(I814&lt;0,J814&gt;=0),Inputs!J$6-1+(-I814)/J813,"")</f>
        <v/>
      </c>
      <c r="K817" s="45" t="str">
        <f aca="false">IF(AND(J814&lt;0,K814&gt;=0),Inputs!K$6-1+(-J814)/K813,"")</f>
        <v/>
      </c>
      <c r="L817" s="45" t="str">
        <f aca="false">IF(AND(K814&lt;0,L814&gt;=0),Inputs!L$6-1+(-K814)/L813,"")</f>
        <v/>
      </c>
      <c r="M817" s="45" t="str">
        <f aca="false">IF(AND(L814&lt;0,M814&gt;=0),Inputs!M$6-1+(-L814)/M813,"")</f>
        <v/>
      </c>
    </row>
    <row r="818" customFormat="false" ht="15" hidden="false" customHeight="false" outlineLevel="0" collapsed="false">
      <c r="A818" s="26" t="s">
        <v>232</v>
      </c>
      <c r="B818" s="36" t="s">
        <v>69</v>
      </c>
      <c r="D818" s="45" t="str">
        <f aca="false">IF(AND(C816&lt;0,D816&gt;=0),Inputs!D$6-1+(-C816)/D815,"")</f>
        <v/>
      </c>
      <c r="E818" s="45" t="str">
        <f aca="false">IF(AND(D816&lt;0,E816&gt;=0),Inputs!E$6-1+(-D816)/E815,"")</f>
        <v/>
      </c>
      <c r="F818" s="45" t="str">
        <f aca="false">IF(AND(E816&lt;0,F816&gt;=0),Inputs!F$6-1+(-E816)/F815,"")</f>
        <v/>
      </c>
      <c r="G818" s="45" t="str">
        <f aca="false">IF(AND(F816&lt;0,G816&gt;=0),Inputs!G$6-1+(-F816)/G815,"")</f>
        <v/>
      </c>
      <c r="H818" s="45" t="str">
        <f aca="false">IF(AND(G816&lt;0,H816&gt;=0),Inputs!H$6-1+(-G816)/H815,"")</f>
        <v/>
      </c>
      <c r="I818" s="45" t="str">
        <f aca="false">IF(AND(H816&lt;0,I816&gt;=0),Inputs!I$6-1+(-H816)/I815,"")</f>
        <v/>
      </c>
      <c r="J818" s="45" t="str">
        <f aca="false">IF(AND(I816&lt;0,J816&gt;=0),Inputs!J$6-1+(-I816)/J815,"")</f>
        <v/>
      </c>
      <c r="K818" s="45" t="str">
        <f aca="false">IF(AND(J816&lt;0,K816&gt;=0),Inputs!K$6-1+(-J816)/K815,"")</f>
        <v/>
      </c>
      <c r="L818" s="45" t="n">
        <f aca="false">IF(AND(K816&lt;0,L816&gt;=0),Inputs!L$6-1+(-K816)/L815,"")</f>
        <v>8.71847023823838</v>
      </c>
      <c r="M818" s="45" t="str">
        <f aca="false">IF(AND(L816&lt;0,M816&gt;=0),Inputs!M$6-1+(-L816)/M815,"")</f>
        <v/>
      </c>
    </row>
    <row r="819" customFormat="false" ht="15" hidden="false" customHeight="false" outlineLevel="0" collapsed="false">
      <c r="A819" s="9" t="s">
        <v>233</v>
      </c>
      <c r="B819" s="36" t="s">
        <v>55</v>
      </c>
      <c r="C819" s="43" t="n">
        <f aca="false">NPV(Inputs!$C$50,D813:M813)+C813</f>
        <v>163.083566100472</v>
      </c>
    </row>
    <row r="820" customFormat="false" ht="15" hidden="false" customHeight="false" outlineLevel="0" collapsed="false">
      <c r="A820" s="9" t="s">
        <v>23</v>
      </c>
      <c r="B820" s="36" t="s">
        <v>62</v>
      </c>
      <c r="C820" s="46" t="n">
        <f aca="false">IRR(C813:M813)</f>
        <v>0.14959511384565</v>
      </c>
    </row>
    <row r="821" customFormat="false" ht="15" hidden="false" customHeight="false" outlineLevel="0" collapsed="false">
      <c r="A821" s="9" t="s">
        <v>234</v>
      </c>
      <c r="B821" s="36" t="s">
        <v>104</v>
      </c>
      <c r="C821" s="44" t="n">
        <f aca="false">SUMIF(C815:M815,"&gt;0")/-SUMIF(C815:M815,"&lt;0")</f>
        <v>1.21630554559383</v>
      </c>
    </row>
    <row r="822" customFormat="false" ht="15" hidden="false" customHeight="false" outlineLevel="0" collapsed="false">
      <c r="A822" s="9" t="s">
        <v>235</v>
      </c>
      <c r="B822" s="36" t="s">
        <v>69</v>
      </c>
      <c r="C822" s="47" t="n">
        <f aca="false">IF(COUNT(D817:M817)=0,"Beyond Year 10",MIN(D817:M817))</f>
        <v>5.7357401129088</v>
      </c>
    </row>
    <row r="823" customFormat="false" ht="15" hidden="false" customHeight="false" outlineLevel="0" collapsed="false">
      <c r="A823" s="9" t="s">
        <v>35</v>
      </c>
      <c r="B823" s="36" t="s">
        <v>69</v>
      </c>
      <c r="C823" s="47" t="n">
        <f aca="false">IF(COUNT(D818:M818)=0,"Beyond Year 10",MIN(D818:M818))</f>
        <v>8.71847023823838</v>
      </c>
    </row>
    <row r="825" customFormat="false" ht="15" hidden="false" customHeight="false" outlineLevel="0" collapsed="false">
      <c r="A825" s="24" t="s">
        <v>236</v>
      </c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</row>
    <row r="826" customFormat="false" ht="15" hidden="false" customHeight="false" outlineLevel="0" collapsed="false">
      <c r="A826" s="9" t="s">
        <v>237</v>
      </c>
      <c r="B826" s="36" t="s">
        <v>55</v>
      </c>
      <c r="C826" s="43" t="n">
        <f aca="false">-C715</f>
        <v>-308.78</v>
      </c>
      <c r="D826" s="43" t="n">
        <f aca="false">D781-D760</f>
        <v>29.4710295117123</v>
      </c>
      <c r="E826" s="43" t="n">
        <f aca="false">E781-E760</f>
        <v>65.6539281374315</v>
      </c>
      <c r="F826" s="43" t="n">
        <f aca="false">F781-F760</f>
        <v>25.4693654222904</v>
      </c>
      <c r="G826" s="43" t="n">
        <f aca="false">G781-G760</f>
        <v>49.7469439906244</v>
      </c>
      <c r="H826" s="43" t="n">
        <f aca="false">H781-H760</f>
        <v>63.0518112133516</v>
      </c>
      <c r="I826" s="43" t="n">
        <f aca="false">I781-I760</f>
        <v>77.6196317271386</v>
      </c>
      <c r="J826" s="43" t="n">
        <f aca="false">J781-J760</f>
        <v>90.3059412173157</v>
      </c>
      <c r="K826" s="43" t="n">
        <f aca="false">K781-K760</f>
        <v>102.305226993527</v>
      </c>
      <c r="L826" s="43" t="n">
        <f aca="false">L781-L760</f>
        <v>114.475993185316</v>
      </c>
      <c r="M826" s="43" t="n">
        <f aca="false">M781-M760+C710+M749*Inputs!$C$52+M754</f>
        <v>422.678190475418</v>
      </c>
    </row>
    <row r="827" customFormat="false" ht="15" hidden="false" customHeight="false" outlineLevel="0" collapsed="false">
      <c r="A827" s="9" t="s">
        <v>238</v>
      </c>
      <c r="B827" s="36" t="s">
        <v>55</v>
      </c>
      <c r="C827" s="43" t="n">
        <f aca="false">NPV(Inputs!$C$51,D826:M826)+C826</f>
        <v>103.515972417671</v>
      </c>
    </row>
    <row r="828" customFormat="false" ht="15" hidden="false" customHeight="false" outlineLevel="0" collapsed="false">
      <c r="A828" s="9" t="s">
        <v>27</v>
      </c>
      <c r="B828" s="36" t="s">
        <v>62</v>
      </c>
      <c r="C828" s="46" t="n">
        <f aca="false">IRR(C826:M826)</f>
        <v>0.194011319282547</v>
      </c>
    </row>
    <row r="830" customFormat="false" ht="15" hidden="false" customHeight="false" outlineLevel="0" collapsed="false">
      <c r="A830" s="24" t="s">
        <v>239</v>
      </c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</row>
    <row r="831" customFormat="false" ht="15" hidden="false" customHeight="false" outlineLevel="0" collapsed="false">
      <c r="A831" s="26" t="s">
        <v>240</v>
      </c>
      <c r="B831" s="36" t="s">
        <v>55</v>
      </c>
      <c r="D831" s="37" t="n">
        <f aca="false">D729-D740</f>
        <v>154.6325</v>
      </c>
      <c r="E831" s="37" t="n">
        <f aca="false">E729-E740</f>
        <v>189.804225</v>
      </c>
      <c r="F831" s="37" t="n">
        <f aca="false">F729-F740</f>
        <v>227.45833875</v>
      </c>
      <c r="G831" s="37" t="n">
        <f aca="false">G729-G740</f>
        <v>251.98357812</v>
      </c>
      <c r="H831" s="37" t="n">
        <f aca="false">H729-H740</f>
        <v>261.7022052948</v>
      </c>
      <c r="I831" s="37" t="n">
        <f aca="false">I729-I740</f>
        <v>278.586330303069</v>
      </c>
      <c r="J831" s="37" t="n">
        <f aca="false">J729-J740</f>
        <v>289.322151946945</v>
      </c>
      <c r="K831" s="37" t="n">
        <f aca="false">K729-K740</f>
        <v>300.467024878164</v>
      </c>
      <c r="L831" s="37" t="n">
        <f aca="false">L729-L740</f>
        <v>312.036292069298</v>
      </c>
      <c r="M831" s="37" t="n">
        <f aca="false">M729-M740</f>
        <v>324.045859257878</v>
      </c>
    </row>
    <row r="832" customFormat="false" ht="15" hidden="false" customHeight="false" outlineLevel="0" collapsed="false">
      <c r="A832" s="26" t="s">
        <v>241</v>
      </c>
      <c r="B832" s="36" t="s">
        <v>62</v>
      </c>
      <c r="D832" s="40" t="n">
        <f aca="false">D724*(D741+D748+D759)/D831</f>
        <v>0.535582607149209</v>
      </c>
      <c r="E832" s="40" t="n">
        <f aca="false">E724*(E741+E748+E759)/E831</f>
        <v>0.523786456808325</v>
      </c>
      <c r="F832" s="40" t="n">
        <f aca="false">F724*(F741+F748+F759)/F831</f>
        <v>0.512588648720182</v>
      </c>
      <c r="G832" s="40" t="n">
        <f aca="false">G724*(G741+G748+G759)/G831</f>
        <v>0.475711299159346</v>
      </c>
      <c r="H832" s="40" t="n">
        <f aca="false">H724*(H741+H748+H759)/H831</f>
        <v>0.441344643903413</v>
      </c>
      <c r="I832" s="40" t="n">
        <f aca="false">I724*(I741+I748+I759)/I831</f>
        <v>0.396410051917346</v>
      </c>
      <c r="J832" s="40" t="n">
        <f aca="false">J724*(J741+J748+J759)/J831</f>
        <v>0.367169050303004</v>
      </c>
      <c r="K832" s="40" t="n">
        <f aca="false">K724*(K741+K748+K759)/K831</f>
        <v>0.340056681568574</v>
      </c>
      <c r="L832" s="40" t="n">
        <f aca="false">L724*(L741+L748+L759)/L831</f>
        <v>0.314964077229463</v>
      </c>
      <c r="M832" s="40" t="n">
        <f aca="false">M724*(M741+M748+M759)/M831</f>
        <v>0.291787793044769</v>
      </c>
    </row>
    <row r="833" customFormat="false" ht="15" hidden="false" customHeight="false" outlineLevel="0" collapsed="false">
      <c r="A833" s="26" t="s">
        <v>242</v>
      </c>
      <c r="B833" s="36" t="s">
        <v>62</v>
      </c>
      <c r="D833" s="40" t="n">
        <f aca="false">D724*(D741+D759+D760)/D831</f>
        <v>0.384488884936867</v>
      </c>
      <c r="E833" s="40" t="n">
        <f aca="false">E724*(E741+E759+E760)/E831</f>
        <v>0.378310243093904</v>
      </c>
      <c r="F833" s="40" t="n">
        <f aca="false">F724*(F741+F759+F760)/F831</f>
        <v>0.590692433529686</v>
      </c>
      <c r="G833" s="40" t="n">
        <f aca="false">G724*(G741+G759+G760)/G831</f>
        <v>0.550913478710468</v>
      </c>
      <c r="H833" s="40" t="n">
        <f aca="false">H724*(H741+H759+H760)/H831</f>
        <v>0.513754099774708</v>
      </c>
      <c r="I833" s="40" t="n">
        <f aca="false">I724*(I741+I759+I760)/I831</f>
        <v>0.4790826551201</v>
      </c>
      <c r="J833" s="40" t="n">
        <f aca="false">J724*(J741+J759+J760)/J831</f>
        <v>0.44677393706287</v>
      </c>
      <c r="K833" s="40" t="n">
        <f aca="false">K724*(K741+K759+K760)/K831</f>
        <v>0.416708877103829</v>
      </c>
      <c r="L833" s="40" t="n">
        <f aca="false">L724*(L741+L759+L760)/L831</f>
        <v>0.388774264468011</v>
      </c>
      <c r="M833" s="40" t="n">
        <f aca="false">M724*(M741+M759+M760)/M831</f>
        <v>0.195426123522091</v>
      </c>
    </row>
    <row r="834" customFormat="false" ht="15" hidden="false" customHeight="false" outlineLevel="0" collapsed="false">
      <c r="A834" s="9" t="s">
        <v>243</v>
      </c>
      <c r="B834" s="36" t="s">
        <v>62</v>
      </c>
      <c r="C834" s="46" t="n">
        <f aca="false">INDEX(D832:M832,Inputs!$C$54)</f>
        <v>0.475711299159346</v>
      </c>
    </row>
    <row r="835" customFormat="false" ht="15" hidden="false" customHeight="false" outlineLevel="0" collapsed="false">
      <c r="A835" s="9" t="s">
        <v>244</v>
      </c>
      <c r="B835" s="36" t="s">
        <v>62</v>
      </c>
      <c r="C835" s="46" t="n">
        <f aca="false">INDEX(D833:M833,Inputs!$C$54)</f>
        <v>0.550913478710468</v>
      </c>
    </row>
    <row r="838" customFormat="false" ht="15" hidden="false" customHeight="false" outlineLevel="0" collapsed="false">
      <c r="A838" s="24" t="s">
        <v>307</v>
      </c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</row>
    <row r="839" customFormat="false" ht="15" hidden="false" customHeight="false" outlineLevel="0" collapsed="false">
      <c r="A839" s="26" t="s">
        <v>54</v>
      </c>
      <c r="B839" s="36" t="s">
        <v>55</v>
      </c>
      <c r="C839" s="37" t="n">
        <f aca="false">Inputs!$C$10*(1+Inputs!$F$66)</f>
        <v>44</v>
      </c>
    </row>
    <row r="840" customFormat="false" ht="15" hidden="false" customHeight="false" outlineLevel="0" collapsed="false">
      <c r="A840" s="26" t="s">
        <v>56</v>
      </c>
      <c r="B840" s="36" t="s">
        <v>55</v>
      </c>
      <c r="C840" s="37" t="n">
        <f aca="false">Inputs!$C$11*(1+Inputs!$F$66)</f>
        <v>253</v>
      </c>
    </row>
    <row r="841" customFormat="false" ht="15" hidden="false" customHeight="false" outlineLevel="0" collapsed="false">
      <c r="A841" s="26" t="s">
        <v>57</v>
      </c>
      <c r="B841" s="36" t="s">
        <v>55</v>
      </c>
      <c r="C841" s="37" t="n">
        <f aca="false">Inputs!$C$12*(1+Inputs!$F$66)</f>
        <v>275</v>
      </c>
    </row>
    <row r="842" customFormat="false" ht="15" hidden="false" customHeight="false" outlineLevel="0" collapsed="false">
      <c r="A842" s="26" t="s">
        <v>58</v>
      </c>
      <c r="B842" s="36" t="s">
        <v>55</v>
      </c>
      <c r="C842" s="37" t="n">
        <f aca="false">Inputs!$C$13*(1+Inputs!$F$66)</f>
        <v>104.5</v>
      </c>
    </row>
    <row r="843" customFormat="false" ht="15" hidden="false" customHeight="false" outlineLevel="0" collapsed="false">
      <c r="A843" s="26" t="s">
        <v>59</v>
      </c>
      <c r="B843" s="36" t="s">
        <v>55</v>
      </c>
      <c r="C843" s="37" t="n">
        <f aca="false">Inputs!$C$14*(1+Inputs!$F$66)</f>
        <v>52.8</v>
      </c>
    </row>
    <row r="844" customFormat="false" ht="15" hidden="false" customHeight="false" outlineLevel="0" collapsed="false">
      <c r="A844" s="26" t="s">
        <v>60</v>
      </c>
      <c r="B844" s="36" t="s">
        <v>55</v>
      </c>
      <c r="C844" s="37" t="n">
        <f aca="false">Inputs!$C$15*(1+Inputs!$F$66)</f>
        <v>39.6</v>
      </c>
    </row>
    <row r="845" customFormat="false" ht="15" hidden="false" customHeight="false" outlineLevel="0" collapsed="false">
      <c r="A845" s="9" t="s">
        <v>137</v>
      </c>
      <c r="B845" s="36" t="s">
        <v>55</v>
      </c>
      <c r="C845" s="38" t="n">
        <f aca="false">SUM(C840:C844)</f>
        <v>724.9</v>
      </c>
    </row>
    <row r="846" customFormat="false" ht="15" hidden="false" customHeight="false" outlineLevel="0" collapsed="false">
      <c r="A846" s="26" t="s">
        <v>138</v>
      </c>
      <c r="B846" s="36" t="s">
        <v>55</v>
      </c>
      <c r="C846" s="37" t="n">
        <f aca="false">C845*Inputs!$C$16</f>
        <v>36.245</v>
      </c>
    </row>
    <row r="847" customFormat="false" ht="15" hidden="false" customHeight="false" outlineLevel="0" collapsed="false">
      <c r="A847" s="26" t="s">
        <v>63</v>
      </c>
      <c r="B847" s="36" t="s">
        <v>55</v>
      </c>
      <c r="C847" s="37" t="n">
        <f aca="false">Inputs!$C$17*(1+Inputs!$F$66)</f>
        <v>24.2</v>
      </c>
    </row>
    <row r="848" customFormat="false" ht="15" hidden="false" customHeight="false" outlineLevel="0" collapsed="false">
      <c r="A848" s="9" t="s">
        <v>139</v>
      </c>
      <c r="B848" s="36" t="s">
        <v>55</v>
      </c>
      <c r="C848" s="38" t="n">
        <f aca="false">C839+C845+C846+C847</f>
        <v>829.345</v>
      </c>
    </row>
    <row r="849" customFormat="false" ht="15" hidden="false" customHeight="false" outlineLevel="0" collapsed="false">
      <c r="A849" s="26" t="s">
        <v>64</v>
      </c>
      <c r="B849" s="36" t="s">
        <v>55</v>
      </c>
      <c r="C849" s="37" t="n">
        <f aca="false">Inputs!$C$18</f>
        <v>18</v>
      </c>
    </row>
    <row r="850" customFormat="false" ht="15" hidden="false" customHeight="false" outlineLevel="0" collapsed="false">
      <c r="A850" s="9" t="s">
        <v>15</v>
      </c>
      <c r="B850" s="36" t="s">
        <v>55</v>
      </c>
      <c r="C850" s="38" t="n">
        <f aca="false">C848+C849</f>
        <v>847.345</v>
      </c>
    </row>
    <row r="852" customFormat="false" ht="15" hidden="false" customHeight="false" outlineLevel="0" collapsed="false">
      <c r="A852" s="24" t="s">
        <v>65</v>
      </c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</row>
    <row r="853" customFormat="false" ht="15" hidden="false" customHeight="false" outlineLevel="0" collapsed="false">
      <c r="A853" s="26" t="s">
        <v>17</v>
      </c>
      <c r="B853" s="36" t="s">
        <v>55</v>
      </c>
      <c r="C853" s="37" t="n">
        <f aca="false">C850*Inputs!$C$20</f>
        <v>508.407</v>
      </c>
    </row>
    <row r="854" customFormat="false" ht="15" hidden="false" customHeight="false" outlineLevel="0" collapsed="false">
      <c r="A854" s="26" t="s">
        <v>19</v>
      </c>
      <c r="B854" s="36" t="s">
        <v>55</v>
      </c>
      <c r="C854" s="37" t="n">
        <f aca="false">C850-C853</f>
        <v>338.938</v>
      </c>
    </row>
    <row r="855" customFormat="false" ht="15" hidden="false" customHeight="false" outlineLevel="0" collapsed="false">
      <c r="A855" s="9" t="s">
        <v>140</v>
      </c>
      <c r="B855" s="36" t="s">
        <v>55</v>
      </c>
      <c r="C855" s="38" t="n">
        <f aca="false">C853+C854</f>
        <v>847.345</v>
      </c>
    </row>
    <row r="856" customFormat="false" ht="15" hidden="false" customHeight="false" outlineLevel="0" collapsed="false">
      <c r="A856" s="26" t="s">
        <v>21</v>
      </c>
      <c r="B856" s="36" t="s">
        <v>104</v>
      </c>
      <c r="C856" s="39" t="n">
        <f aca="false">C853/C854</f>
        <v>1.5</v>
      </c>
    </row>
    <row r="858" customFormat="false" ht="15" hidden="false" customHeight="false" outlineLevel="0" collapsed="false">
      <c r="A858" s="24" t="s">
        <v>141</v>
      </c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</row>
    <row r="859" customFormat="false" ht="15" hidden="false" customHeight="false" outlineLevel="0" collapsed="false">
      <c r="A859" s="26" t="s">
        <v>142</v>
      </c>
      <c r="B859" s="36" t="s">
        <v>55</v>
      </c>
      <c r="C859" s="37" t="n">
        <f aca="false">C840*(1+Inputs!$C$16)</f>
        <v>265.65</v>
      </c>
    </row>
    <row r="860" customFormat="false" ht="15" hidden="false" customHeight="false" outlineLevel="0" collapsed="false">
      <c r="A860" s="26" t="s">
        <v>143</v>
      </c>
      <c r="B860" s="36" t="s">
        <v>55</v>
      </c>
      <c r="C860" s="37" t="n">
        <f aca="false">C841+C842+C843+C844</f>
        <v>471.9</v>
      </c>
    </row>
    <row r="861" customFormat="false" ht="15" hidden="false" customHeight="false" outlineLevel="0" collapsed="false">
      <c r="A861" s="26" t="s">
        <v>144</v>
      </c>
      <c r="B861" s="36" t="s">
        <v>55</v>
      </c>
      <c r="C861" s="37" t="n">
        <f aca="false">C860*(1+Inputs!$C$16)</f>
        <v>495.495</v>
      </c>
    </row>
    <row r="862" customFormat="false" ht="15" hidden="false" customHeight="false" outlineLevel="0" collapsed="false">
      <c r="A862" s="24" t="s">
        <v>308</v>
      </c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</row>
    <row r="863" customFormat="false" ht="15" hidden="false" customHeight="false" outlineLevel="0" collapsed="false">
      <c r="A863" s="26" t="s">
        <v>147</v>
      </c>
      <c r="B863" s="36" t="s">
        <v>62</v>
      </c>
      <c r="D863" s="40" t="n">
        <f aca="false">MAX(0,MIN(1,Inputs!D$56+Inputs!$D$66))</f>
        <v>0.55</v>
      </c>
      <c r="E863" s="40" t="n">
        <f aca="false">MAX(0,MIN(1,Inputs!E$56+Inputs!$D$66))</f>
        <v>0.65</v>
      </c>
      <c r="F863" s="40" t="n">
        <f aca="false">MAX(0,MIN(1,Inputs!F$56+Inputs!$D$66))</f>
        <v>0.75</v>
      </c>
      <c r="G863" s="40" t="n">
        <f aca="false">MAX(0,MIN(1,Inputs!G$56+Inputs!$D$66))</f>
        <v>0.8</v>
      </c>
      <c r="H863" s="40" t="n">
        <f aca="false">MAX(0,MIN(1,Inputs!H$56+Inputs!$D$66))</f>
        <v>0.8</v>
      </c>
      <c r="I863" s="40" t="n">
        <f aca="false">MAX(0,MIN(1,Inputs!I$56+Inputs!$D$66))</f>
        <v>0.82</v>
      </c>
      <c r="J863" s="40" t="n">
        <f aca="false">MAX(0,MIN(1,Inputs!J$56+Inputs!$D$66))</f>
        <v>0.82</v>
      </c>
      <c r="K863" s="40" t="n">
        <f aca="false">MAX(0,MIN(1,Inputs!K$56+Inputs!$D$66))</f>
        <v>0.82</v>
      </c>
      <c r="L863" s="40" t="n">
        <f aca="false">MAX(0,MIN(1,Inputs!L$56+Inputs!$D$66))</f>
        <v>0.82</v>
      </c>
      <c r="M863" s="40" t="n">
        <f aca="false">MAX(0,MIN(1,Inputs!M$56+Inputs!$D$66))</f>
        <v>0.82</v>
      </c>
    </row>
    <row r="864" customFormat="false" ht="15" hidden="false" customHeight="false" outlineLevel="0" collapsed="false">
      <c r="A864" s="26" t="s">
        <v>148</v>
      </c>
      <c r="B864" s="36" t="s">
        <v>72</v>
      </c>
      <c r="D864" s="41" t="n">
        <f aca="false">Inputs!$C$25*D863</f>
        <v>2750</v>
      </c>
      <c r="E864" s="41" t="n">
        <f aca="false">Inputs!$C$25*E863</f>
        <v>3250</v>
      </c>
      <c r="F864" s="41" t="n">
        <f aca="false">Inputs!$C$25*F863</f>
        <v>3750</v>
      </c>
      <c r="G864" s="41" t="n">
        <f aca="false">Inputs!$C$25*G863</f>
        <v>4000</v>
      </c>
      <c r="H864" s="41" t="n">
        <f aca="false">Inputs!$C$25*H863</f>
        <v>4000</v>
      </c>
      <c r="I864" s="41" t="n">
        <f aca="false">Inputs!$C$25*I863</f>
        <v>4100</v>
      </c>
      <c r="J864" s="41" t="n">
        <f aca="false">Inputs!$C$25*J863</f>
        <v>4100</v>
      </c>
      <c r="K864" s="41" t="n">
        <f aca="false">Inputs!$C$25*K863</f>
        <v>4100</v>
      </c>
      <c r="L864" s="41" t="n">
        <f aca="false">Inputs!$C$25*L863</f>
        <v>4100</v>
      </c>
      <c r="M864" s="41" t="n">
        <f aca="false">Inputs!$C$25*M863</f>
        <v>4100</v>
      </c>
    </row>
    <row r="865" customFormat="false" ht="15" hidden="false" customHeight="false" outlineLevel="0" collapsed="false">
      <c r="A865" s="26" t="s">
        <v>149</v>
      </c>
      <c r="B865" s="36" t="s">
        <v>74</v>
      </c>
      <c r="D865" s="42" t="n">
        <f aca="false">Inputs!$C$26*(1+Inputs!$C$27)^(Inputs!D$6-1)*(1+Inputs!$C$66)</f>
        <v>5400</v>
      </c>
      <c r="E865" s="42" t="n">
        <f aca="false">Inputs!$C$26*(1+Inputs!$C$27)^(Inputs!E$6-1)*(1+Inputs!$C$66)</f>
        <v>5616</v>
      </c>
      <c r="F865" s="42" t="n">
        <f aca="false">Inputs!$C$26*(1+Inputs!$C$27)^(Inputs!F$6-1)*(1+Inputs!$C$66)</f>
        <v>5840.64</v>
      </c>
      <c r="G865" s="42" t="n">
        <f aca="false">Inputs!$C$26*(1+Inputs!$C$27)^(Inputs!G$6-1)*(1+Inputs!$C$66)</f>
        <v>6074.2656</v>
      </c>
      <c r="H865" s="42" t="n">
        <f aca="false">Inputs!$C$26*(1+Inputs!$C$27)^(Inputs!H$6-1)*(1+Inputs!$C$66)</f>
        <v>6317.236224</v>
      </c>
      <c r="I865" s="42" t="n">
        <f aca="false">Inputs!$C$26*(1+Inputs!$C$27)^(Inputs!I$6-1)*(1+Inputs!$C$66)</f>
        <v>6569.92567296</v>
      </c>
      <c r="J865" s="42" t="n">
        <f aca="false">Inputs!$C$26*(1+Inputs!$C$27)^(Inputs!J$6-1)*(1+Inputs!$C$66)</f>
        <v>6832.7226998784</v>
      </c>
      <c r="K865" s="42" t="n">
        <f aca="false">Inputs!$C$26*(1+Inputs!$C$27)^(Inputs!K$6-1)*(1+Inputs!$C$66)</f>
        <v>7106.03160787354</v>
      </c>
      <c r="L865" s="42" t="n">
        <f aca="false">Inputs!$C$26*(1+Inputs!$C$27)^(Inputs!L$6-1)*(1+Inputs!$C$66)</f>
        <v>7390.27287218848</v>
      </c>
      <c r="M865" s="42" t="n">
        <f aca="false">Inputs!$C$26*(1+Inputs!$C$27)^(Inputs!M$6-1)*(1+Inputs!$C$66)</f>
        <v>7685.88378707602</v>
      </c>
    </row>
    <row r="866" customFormat="false" ht="15" hidden="false" customHeight="false" outlineLevel="0" collapsed="false">
      <c r="A866" s="26" t="s">
        <v>150</v>
      </c>
      <c r="B866" s="36" t="s">
        <v>55</v>
      </c>
      <c r="D866" s="37" t="n">
        <f aca="false">D864*D865/Inputs!$C$48</f>
        <v>148.5</v>
      </c>
      <c r="E866" s="37" t="n">
        <f aca="false">E864*E865/Inputs!$C$48</f>
        <v>182.52</v>
      </c>
      <c r="F866" s="37" t="n">
        <f aca="false">F864*F865/Inputs!$C$48</f>
        <v>219.024</v>
      </c>
      <c r="G866" s="37" t="n">
        <f aca="false">G864*G865/Inputs!$C$48</f>
        <v>242.970624</v>
      </c>
      <c r="H866" s="37" t="n">
        <f aca="false">H864*H865/Inputs!$C$48</f>
        <v>252.68944896</v>
      </c>
      <c r="I866" s="37" t="n">
        <f aca="false">I864*I865/Inputs!$C$48</f>
        <v>269.36695259136</v>
      </c>
      <c r="J866" s="37" t="n">
        <f aca="false">J864*J865/Inputs!$C$48</f>
        <v>280.141630695015</v>
      </c>
      <c r="K866" s="37" t="n">
        <f aca="false">K864*K865/Inputs!$C$48</f>
        <v>291.347295922815</v>
      </c>
      <c r="L866" s="37" t="n">
        <f aca="false">L864*L865/Inputs!$C$48</f>
        <v>303.001187759728</v>
      </c>
      <c r="M866" s="37" t="n">
        <f aca="false">M864*M865/Inputs!$C$48</f>
        <v>315.121235270117</v>
      </c>
    </row>
    <row r="867" customFormat="false" ht="15" hidden="false" customHeight="false" outlineLevel="0" collapsed="false">
      <c r="A867" s="26" t="s">
        <v>151</v>
      </c>
      <c r="B867" s="36" t="s">
        <v>55</v>
      </c>
      <c r="D867" s="37" t="n">
        <f aca="false">D866*Inputs!$C$28</f>
        <v>14.85</v>
      </c>
      <c r="E867" s="37" t="n">
        <f aca="false">E866*Inputs!$C$28</f>
        <v>18.252</v>
      </c>
      <c r="F867" s="37" t="n">
        <f aca="false">F866*Inputs!$C$28</f>
        <v>21.9024</v>
      </c>
      <c r="G867" s="37" t="n">
        <f aca="false">G866*Inputs!$C$28</f>
        <v>24.2970624</v>
      </c>
      <c r="H867" s="37" t="n">
        <f aca="false">H866*Inputs!$C$28</f>
        <v>25.268944896</v>
      </c>
      <c r="I867" s="37" t="n">
        <f aca="false">I866*Inputs!$C$28</f>
        <v>26.936695259136</v>
      </c>
      <c r="J867" s="37" t="n">
        <f aca="false">J866*Inputs!$C$28</f>
        <v>28.0141630695015</v>
      </c>
      <c r="K867" s="37" t="n">
        <f aca="false">K866*Inputs!$C$28</f>
        <v>29.1347295922815</v>
      </c>
      <c r="L867" s="37" t="n">
        <f aca="false">L866*Inputs!$C$28</f>
        <v>30.3001187759728</v>
      </c>
      <c r="M867" s="37" t="n">
        <f aca="false">M866*Inputs!$C$28</f>
        <v>31.5121235270117</v>
      </c>
    </row>
    <row r="868" customFormat="false" ht="15" hidden="false" customHeight="false" outlineLevel="0" collapsed="false">
      <c r="A868" s="9" t="s">
        <v>152</v>
      </c>
      <c r="B868" s="36" t="s">
        <v>55</v>
      </c>
      <c r="D868" s="38" t="n">
        <f aca="false">D866+D867</f>
        <v>163.35</v>
      </c>
      <c r="E868" s="38" t="n">
        <f aca="false">E866+E867</f>
        <v>200.772</v>
      </c>
      <c r="F868" s="38" t="n">
        <f aca="false">F866+F867</f>
        <v>240.9264</v>
      </c>
      <c r="G868" s="38" t="n">
        <f aca="false">G866+G867</f>
        <v>267.2676864</v>
      </c>
      <c r="H868" s="38" t="n">
        <f aca="false">H866+H867</f>
        <v>277.958393856</v>
      </c>
      <c r="I868" s="38" t="n">
        <f aca="false">I866+I867</f>
        <v>296.303647850496</v>
      </c>
      <c r="J868" s="38" t="n">
        <f aca="false">J866+J867</f>
        <v>308.155793764516</v>
      </c>
      <c r="K868" s="38" t="n">
        <f aca="false">K866+K867</f>
        <v>320.482025515097</v>
      </c>
      <c r="L868" s="38" t="n">
        <f aca="false">L866+L867</f>
        <v>333.3013065357</v>
      </c>
      <c r="M868" s="38" t="n">
        <f aca="false">M866+M867</f>
        <v>346.633358797128</v>
      </c>
    </row>
    <row r="870" customFormat="false" ht="15" hidden="false" customHeight="false" outlineLevel="0" collapsed="false">
      <c r="A870" s="24" t="s">
        <v>153</v>
      </c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</row>
    <row r="871" customFormat="false" ht="15" hidden="false" customHeight="false" outlineLevel="0" collapsed="false">
      <c r="A871" s="26" t="s">
        <v>154</v>
      </c>
      <c r="B871" s="36" t="s">
        <v>55</v>
      </c>
      <c r="D871" s="37" t="n">
        <f aca="false">D864*Inputs!$C$30*(1+Inputs!$C$31)^(Inputs!D$6-1)/Inputs!$C$48*(1+Inputs!$E$66)</f>
        <v>28.7375</v>
      </c>
      <c r="E871" s="37" t="n">
        <f aca="false">E864*Inputs!$C$30*(1+Inputs!$C$31)^(Inputs!E$6-1)/Inputs!$C$48*(1+Inputs!$E$66)</f>
        <v>35.660625</v>
      </c>
      <c r="F871" s="37" t="n">
        <f aca="false">F864*Inputs!$C$30*(1+Inputs!$C$31)^(Inputs!F$6-1)/Inputs!$C$48*(1+Inputs!$E$66)</f>
        <v>43.20421875</v>
      </c>
      <c r="G871" s="37" t="n">
        <f aca="false">G864*Inputs!$C$30*(1+Inputs!$C$31)^(Inputs!G$6-1)/Inputs!$C$48*(1+Inputs!$E$66)</f>
        <v>48.388725</v>
      </c>
      <c r="H871" s="37" t="n">
        <f aca="false">H864*Inputs!$C$30*(1+Inputs!$C$31)^(Inputs!H$6-1)/Inputs!$C$48*(1+Inputs!$E$66)</f>
        <v>50.80816125</v>
      </c>
      <c r="I871" s="37" t="n">
        <f aca="false">I864*Inputs!$C$30*(1+Inputs!$C$31)^(Inputs!I$6-1)/Inputs!$C$48*(1+Inputs!$E$66)</f>
        <v>54.6822835453125</v>
      </c>
      <c r="J871" s="37" t="n">
        <f aca="false">J864*Inputs!$C$30*(1+Inputs!$C$31)^(Inputs!J$6-1)/Inputs!$C$48*(1+Inputs!$E$66)</f>
        <v>57.4163977225782</v>
      </c>
      <c r="K871" s="37" t="n">
        <f aca="false">K864*Inputs!$C$30*(1+Inputs!$C$31)^(Inputs!K$6-1)/Inputs!$C$48*(1+Inputs!$E$66)</f>
        <v>60.2872176087071</v>
      </c>
      <c r="L871" s="37" t="n">
        <f aca="false">L864*Inputs!$C$30*(1+Inputs!$C$31)^(Inputs!L$6-1)/Inputs!$C$48*(1+Inputs!$E$66)</f>
        <v>63.3015784891424</v>
      </c>
      <c r="M871" s="37" t="n">
        <f aca="false">M864*Inputs!$C$30*(1+Inputs!$C$31)^(Inputs!M$6-1)/Inputs!$C$48*(1+Inputs!$E$66)</f>
        <v>66.4666574135995</v>
      </c>
    </row>
    <row r="872" customFormat="false" ht="15" hidden="false" customHeight="false" outlineLevel="0" collapsed="false">
      <c r="A872" s="26" t="s">
        <v>155</v>
      </c>
      <c r="B872" s="36" t="s">
        <v>55</v>
      </c>
      <c r="D872" s="37" t="n">
        <f aca="false">-D871*Inputs!$C$32</f>
        <v>-5.17275</v>
      </c>
      <c r="E872" s="37" t="n">
        <f aca="false">-E871*Inputs!$C$32</f>
        <v>-6.4189125</v>
      </c>
      <c r="F872" s="37" t="n">
        <f aca="false">-F871*Inputs!$C$32</f>
        <v>-7.776759375</v>
      </c>
      <c r="G872" s="37" t="n">
        <f aca="false">-G871*Inputs!$C$32</f>
        <v>-8.7099705</v>
      </c>
      <c r="H872" s="37" t="n">
        <f aca="false">-H871*Inputs!$C$32</f>
        <v>-9.145469025</v>
      </c>
      <c r="I872" s="37" t="n">
        <f aca="false">-I871*Inputs!$C$32</f>
        <v>-9.84281103815625</v>
      </c>
      <c r="J872" s="37" t="n">
        <f aca="false">-J871*Inputs!$C$32</f>
        <v>-10.3349515900641</v>
      </c>
      <c r="K872" s="37" t="n">
        <f aca="false">-K871*Inputs!$C$32</f>
        <v>-10.8516991695673</v>
      </c>
      <c r="L872" s="37" t="n">
        <f aca="false">-L871*Inputs!$C$32</f>
        <v>-11.3942841280456</v>
      </c>
      <c r="M872" s="37" t="n">
        <f aca="false">-M871*Inputs!$C$32</f>
        <v>-11.9639983344479</v>
      </c>
    </row>
    <row r="873" customFormat="false" ht="15" hidden="false" customHeight="false" outlineLevel="0" collapsed="false">
      <c r="A873" s="26" t="s">
        <v>156</v>
      </c>
      <c r="B873" s="36" t="s">
        <v>55</v>
      </c>
      <c r="D873" s="37" t="n">
        <f aca="false">D868*Inputs!$C$33*(1+Inputs!$E$66)</f>
        <v>5.39055</v>
      </c>
      <c r="E873" s="37" t="n">
        <f aca="false">E868*Inputs!$C$33*(1+Inputs!$E$66)</f>
        <v>6.625476</v>
      </c>
      <c r="F873" s="37" t="n">
        <f aca="false">F868*Inputs!$C$33*(1+Inputs!$E$66)</f>
        <v>7.9505712</v>
      </c>
      <c r="G873" s="37" t="n">
        <f aca="false">G868*Inputs!$C$33*(1+Inputs!$E$66)</f>
        <v>8.8198336512</v>
      </c>
      <c r="H873" s="37" t="n">
        <f aca="false">H868*Inputs!$C$33*(1+Inputs!$E$66)</f>
        <v>9.172626997248</v>
      </c>
      <c r="I873" s="37" t="n">
        <f aca="false">I868*Inputs!$C$33*(1+Inputs!$E$66)</f>
        <v>9.77802037906637</v>
      </c>
      <c r="J873" s="37" t="n">
        <f aca="false">J868*Inputs!$C$33*(1+Inputs!$E$66)</f>
        <v>10.169141194229</v>
      </c>
      <c r="K873" s="37" t="n">
        <f aca="false">K868*Inputs!$C$33*(1+Inputs!$E$66)</f>
        <v>10.5759068419982</v>
      </c>
      <c r="L873" s="37" t="n">
        <f aca="false">L868*Inputs!$C$33*(1+Inputs!$E$66)</f>
        <v>10.9989431156781</v>
      </c>
      <c r="M873" s="37" t="n">
        <f aca="false">M868*Inputs!$C$33*(1+Inputs!$E$66)</f>
        <v>11.4389008403052</v>
      </c>
    </row>
    <row r="874" customFormat="false" ht="15" hidden="false" customHeight="false" outlineLevel="0" collapsed="false">
      <c r="A874" s="26" t="s">
        <v>157</v>
      </c>
      <c r="B874" s="36" t="s">
        <v>55</v>
      </c>
      <c r="D874" s="37" t="n">
        <f aca="false">Inputs!$C$34*(1+Inputs!$C$35)^(Inputs!D$6-1)*(1+Inputs!$E$66)</f>
        <v>35.2</v>
      </c>
      <c r="E874" s="37" t="n">
        <f aca="false">Inputs!$C$34*(1+Inputs!$C$35)^(Inputs!E$6-1)*(1+Inputs!$E$66)</f>
        <v>37.312</v>
      </c>
      <c r="F874" s="37" t="n">
        <f aca="false">Inputs!$C$34*(1+Inputs!$C$35)^(Inputs!F$6-1)*(1+Inputs!$E$66)</f>
        <v>39.55072</v>
      </c>
      <c r="G874" s="37" t="n">
        <f aca="false">Inputs!$C$34*(1+Inputs!$C$35)^(Inputs!G$6-1)*(1+Inputs!$E$66)</f>
        <v>41.9237632</v>
      </c>
      <c r="H874" s="37" t="n">
        <f aca="false">Inputs!$C$34*(1+Inputs!$C$35)^(Inputs!H$6-1)*(1+Inputs!$E$66)</f>
        <v>44.439188992</v>
      </c>
      <c r="I874" s="37" t="n">
        <f aca="false">Inputs!$C$34*(1+Inputs!$C$35)^(Inputs!I$6-1)*(1+Inputs!$E$66)</f>
        <v>47.10554033152</v>
      </c>
      <c r="J874" s="37" t="n">
        <f aca="false">Inputs!$C$34*(1+Inputs!$C$35)^(Inputs!J$6-1)*(1+Inputs!$E$66)</f>
        <v>49.9318727514112</v>
      </c>
      <c r="K874" s="37" t="n">
        <f aca="false">Inputs!$C$34*(1+Inputs!$C$35)^(Inputs!K$6-1)*(1+Inputs!$E$66)</f>
        <v>52.9277851164959</v>
      </c>
      <c r="L874" s="37" t="n">
        <f aca="false">Inputs!$C$34*(1+Inputs!$C$35)^(Inputs!L$6-1)*(1+Inputs!$E$66)</f>
        <v>56.1034522234857</v>
      </c>
      <c r="M874" s="37" t="n">
        <f aca="false">Inputs!$C$34*(1+Inputs!$C$35)^(Inputs!M$6-1)*(1+Inputs!$E$66)</f>
        <v>59.4696593568948</v>
      </c>
    </row>
    <row r="875" customFormat="false" ht="15" hidden="false" customHeight="false" outlineLevel="0" collapsed="false">
      <c r="A875" s="26" t="s">
        <v>158</v>
      </c>
      <c r="B875" s="36" t="s">
        <v>55</v>
      </c>
      <c r="D875" s="37" t="n">
        <f aca="false">$C$860*Inputs!$C$36*(1+Inputs!$E$66)</f>
        <v>7.78635</v>
      </c>
      <c r="E875" s="37" t="n">
        <f aca="false">$C$860*Inputs!$C$36*(1+Inputs!$E$66)</f>
        <v>7.78635</v>
      </c>
      <c r="F875" s="37" t="n">
        <f aca="false">$C$860*Inputs!$C$36*(1+Inputs!$E$66)</f>
        <v>7.78635</v>
      </c>
      <c r="G875" s="37" t="n">
        <f aca="false">$C$860*Inputs!$C$36*(1+Inputs!$E$66)</f>
        <v>7.78635</v>
      </c>
      <c r="H875" s="37" t="n">
        <f aca="false">$C$860*Inputs!$C$36*(1+Inputs!$E$66)</f>
        <v>7.78635</v>
      </c>
      <c r="I875" s="37" t="n">
        <f aca="false">$C$860*Inputs!$C$36*(1+Inputs!$E$66)</f>
        <v>7.78635</v>
      </c>
      <c r="J875" s="37" t="n">
        <f aca="false">$C$860*Inputs!$C$36*(1+Inputs!$E$66)</f>
        <v>7.78635</v>
      </c>
      <c r="K875" s="37" t="n">
        <f aca="false">$C$860*Inputs!$C$36*(1+Inputs!$E$66)</f>
        <v>7.78635</v>
      </c>
      <c r="L875" s="37" t="n">
        <f aca="false">$C$860*Inputs!$C$36*(1+Inputs!$E$66)</f>
        <v>7.78635</v>
      </c>
      <c r="M875" s="37" t="n">
        <f aca="false">$C$860*Inputs!$C$36*(1+Inputs!$E$66)</f>
        <v>7.78635</v>
      </c>
    </row>
    <row r="876" customFormat="false" ht="15" hidden="false" customHeight="false" outlineLevel="0" collapsed="false">
      <c r="A876" s="26" t="s">
        <v>159</v>
      </c>
      <c r="B876" s="36" t="s">
        <v>55</v>
      </c>
      <c r="D876" s="37" t="n">
        <f aca="false">($C$859+$C$861)*Inputs!$C$37*(1+Inputs!$E$66)</f>
        <v>3.349038</v>
      </c>
      <c r="E876" s="37" t="n">
        <f aca="false">($C$859+$C$861)*Inputs!$C$37*(1+Inputs!$E$66)</f>
        <v>3.349038</v>
      </c>
      <c r="F876" s="37" t="n">
        <f aca="false">($C$859+$C$861)*Inputs!$C$37*(1+Inputs!$E$66)</f>
        <v>3.349038</v>
      </c>
      <c r="G876" s="37" t="n">
        <f aca="false">($C$859+$C$861)*Inputs!$C$37*(1+Inputs!$E$66)</f>
        <v>3.349038</v>
      </c>
      <c r="H876" s="37" t="n">
        <f aca="false">($C$859+$C$861)*Inputs!$C$37*(1+Inputs!$E$66)</f>
        <v>3.349038</v>
      </c>
      <c r="I876" s="37" t="n">
        <f aca="false">($C$859+$C$861)*Inputs!$C$37*(1+Inputs!$E$66)</f>
        <v>3.349038</v>
      </c>
      <c r="J876" s="37" t="n">
        <f aca="false">($C$859+$C$861)*Inputs!$C$37*(1+Inputs!$E$66)</f>
        <v>3.349038</v>
      </c>
      <c r="K876" s="37" t="n">
        <f aca="false">($C$859+$C$861)*Inputs!$C$37*(1+Inputs!$E$66)</f>
        <v>3.349038</v>
      </c>
      <c r="L876" s="37" t="n">
        <f aca="false">($C$859+$C$861)*Inputs!$C$37*(1+Inputs!$E$66)</f>
        <v>3.349038</v>
      </c>
      <c r="M876" s="37" t="n">
        <f aca="false">($C$859+$C$861)*Inputs!$C$37*(1+Inputs!$E$66)</f>
        <v>3.349038</v>
      </c>
    </row>
    <row r="877" customFormat="false" ht="15" hidden="false" customHeight="false" outlineLevel="0" collapsed="false">
      <c r="A877" s="26" t="s">
        <v>160</v>
      </c>
      <c r="B877" s="36" t="s">
        <v>55</v>
      </c>
      <c r="D877" s="37" t="n">
        <f aca="false">Inputs!$C$38*(1+Inputs!$C$39)^(Inputs!D$6-1)*(1+Inputs!$E$66)</f>
        <v>9.9</v>
      </c>
      <c r="E877" s="37" t="n">
        <f aca="false">Inputs!$C$38*(1+Inputs!$C$39)^(Inputs!E$6-1)*(1+Inputs!$E$66)</f>
        <v>10.395</v>
      </c>
      <c r="F877" s="37" t="n">
        <f aca="false">Inputs!$C$38*(1+Inputs!$C$39)^(Inputs!F$6-1)*(1+Inputs!$E$66)</f>
        <v>10.91475</v>
      </c>
      <c r="G877" s="37" t="n">
        <f aca="false">Inputs!$C$38*(1+Inputs!$C$39)^(Inputs!G$6-1)*(1+Inputs!$E$66)</f>
        <v>11.4604875</v>
      </c>
      <c r="H877" s="37" t="n">
        <f aca="false">Inputs!$C$38*(1+Inputs!$C$39)^(Inputs!H$6-1)*(1+Inputs!$E$66)</f>
        <v>12.033511875</v>
      </c>
      <c r="I877" s="37" t="n">
        <f aca="false">Inputs!$C$38*(1+Inputs!$C$39)^(Inputs!I$6-1)*(1+Inputs!$E$66)</f>
        <v>12.63518746875</v>
      </c>
      <c r="J877" s="37" t="n">
        <f aca="false">Inputs!$C$38*(1+Inputs!$C$39)^(Inputs!J$6-1)*(1+Inputs!$E$66)</f>
        <v>13.2669468421875</v>
      </c>
      <c r="K877" s="37" t="n">
        <f aca="false">Inputs!$C$38*(1+Inputs!$C$39)^(Inputs!K$6-1)*(1+Inputs!$E$66)</f>
        <v>13.9302941842969</v>
      </c>
      <c r="L877" s="37" t="n">
        <f aca="false">Inputs!$C$38*(1+Inputs!$C$39)^(Inputs!L$6-1)*(1+Inputs!$E$66)</f>
        <v>14.6268088935117</v>
      </c>
      <c r="M877" s="37" t="n">
        <f aca="false">Inputs!$C$38*(1+Inputs!$C$39)^(Inputs!M$6-1)*(1+Inputs!$E$66)</f>
        <v>15.3581493381873</v>
      </c>
    </row>
    <row r="878" customFormat="false" ht="15" hidden="false" customHeight="false" outlineLevel="0" collapsed="false">
      <c r="A878" s="9" t="s">
        <v>161</v>
      </c>
      <c r="B878" s="36" t="s">
        <v>55</v>
      </c>
      <c r="D878" s="38" t="n">
        <f aca="false">SUM(D871:D877)</f>
        <v>85.190688</v>
      </c>
      <c r="E878" s="38" t="n">
        <f aca="false">SUM(E871:E877)</f>
        <v>94.7095765</v>
      </c>
      <c r="F878" s="38" t="n">
        <f aca="false">SUM(F871:F877)</f>
        <v>104.978888575</v>
      </c>
      <c r="G878" s="38" t="n">
        <f aca="false">SUM(G871:G877)</f>
        <v>113.0182268512</v>
      </c>
      <c r="H878" s="38" t="n">
        <f aca="false">SUM(H871:H877)</f>
        <v>118.443408089248</v>
      </c>
      <c r="I878" s="38" t="n">
        <f aca="false">SUM(I871:I877)</f>
        <v>125.493608686493</v>
      </c>
      <c r="J878" s="38" t="n">
        <f aca="false">SUM(J871:J877)</f>
        <v>131.584794920342</v>
      </c>
      <c r="K878" s="38" t="n">
        <f aca="false">SUM(K871:K877)</f>
        <v>138.004892581931</v>
      </c>
      <c r="L878" s="38" t="n">
        <f aca="false">SUM(L871:L877)</f>
        <v>144.771886593772</v>
      </c>
      <c r="M878" s="38" t="n">
        <f aca="false">SUM(M871:M877)</f>
        <v>151.904756614539</v>
      </c>
    </row>
    <row r="879" customFormat="false" ht="15" hidden="false" customHeight="false" outlineLevel="0" collapsed="false">
      <c r="A879" s="26" t="s">
        <v>162</v>
      </c>
      <c r="B879" s="36" t="s">
        <v>55</v>
      </c>
      <c r="D879" s="37" t="n">
        <f aca="false">D871+D872+D873</f>
        <v>28.9553</v>
      </c>
      <c r="E879" s="37" t="n">
        <f aca="false">E871+E872+E873</f>
        <v>35.8671885</v>
      </c>
      <c r="F879" s="37" t="n">
        <f aca="false">F871+F872+F873</f>
        <v>43.378030575</v>
      </c>
      <c r="G879" s="37" t="n">
        <f aca="false">G871+G872+G873</f>
        <v>48.4985881512</v>
      </c>
      <c r="H879" s="37" t="n">
        <f aca="false">H871+H872+H873</f>
        <v>50.835319222248</v>
      </c>
      <c r="I879" s="37" t="n">
        <f aca="false">I871+I872+I873</f>
        <v>54.6174928862226</v>
      </c>
      <c r="J879" s="37" t="n">
        <f aca="false">J871+J872+J873</f>
        <v>57.2505873267431</v>
      </c>
      <c r="K879" s="37" t="n">
        <f aca="false">K871+K872+K873</f>
        <v>60.011425281138</v>
      </c>
      <c r="L879" s="37" t="n">
        <f aca="false">L871+L872+L873</f>
        <v>62.9062374767749</v>
      </c>
      <c r="M879" s="37" t="n">
        <f aca="false">M871+M872+M873</f>
        <v>65.9415599194569</v>
      </c>
    </row>
    <row r="880" customFormat="false" ht="15" hidden="false" customHeight="false" outlineLevel="0" collapsed="false">
      <c r="A880" s="26" t="s">
        <v>163</v>
      </c>
      <c r="B880" s="36" t="s">
        <v>55</v>
      </c>
      <c r="D880" s="37" t="n">
        <f aca="false">D874+D875+D876+D877</f>
        <v>56.235388</v>
      </c>
      <c r="E880" s="37" t="n">
        <f aca="false">E874+E875+E876+E877</f>
        <v>58.842388</v>
      </c>
      <c r="F880" s="37" t="n">
        <f aca="false">F874+F875+F876+F877</f>
        <v>61.600858</v>
      </c>
      <c r="G880" s="37" t="n">
        <f aca="false">G874+G875+G876+G877</f>
        <v>64.5196387</v>
      </c>
      <c r="H880" s="37" t="n">
        <f aca="false">H874+H875+H876+H877</f>
        <v>67.608088867</v>
      </c>
      <c r="I880" s="37" t="n">
        <f aca="false">I874+I875+I876+I877</f>
        <v>70.87611580027</v>
      </c>
      <c r="J880" s="37" t="n">
        <f aca="false">J874+J875+J876+J877</f>
        <v>74.3342075935987</v>
      </c>
      <c r="K880" s="37" t="n">
        <f aca="false">K874+K875+K876+K877</f>
        <v>77.9934673007928</v>
      </c>
      <c r="L880" s="37" t="n">
        <f aca="false">L874+L875+L876+L877</f>
        <v>81.8656491169974</v>
      </c>
      <c r="M880" s="37" t="n">
        <f aca="false">M874+M875+M876+M877</f>
        <v>85.9631966950821</v>
      </c>
    </row>
    <row r="881" customFormat="false" ht="15" hidden="false" customHeight="false" outlineLevel="0" collapsed="false">
      <c r="A881" s="9" t="s">
        <v>20</v>
      </c>
      <c r="B881" s="36" t="s">
        <v>55</v>
      </c>
      <c r="D881" s="38" t="n">
        <f aca="false">D868-D878</f>
        <v>78.159312</v>
      </c>
      <c r="E881" s="38" t="n">
        <f aca="false">E868-E878</f>
        <v>106.0624235</v>
      </c>
      <c r="F881" s="38" t="n">
        <f aca="false">F868-F878</f>
        <v>135.947511425</v>
      </c>
      <c r="G881" s="38" t="n">
        <f aca="false">G868-G878</f>
        <v>154.2494595488</v>
      </c>
      <c r="H881" s="38" t="n">
        <f aca="false">H868-H878</f>
        <v>159.514985766752</v>
      </c>
      <c r="I881" s="38" t="n">
        <f aca="false">I868-I878</f>
        <v>170.810039164003</v>
      </c>
      <c r="J881" s="38" t="n">
        <f aca="false">J868-J878</f>
        <v>176.570998844174</v>
      </c>
      <c r="K881" s="38" t="n">
        <f aca="false">K868-K878</f>
        <v>182.477132933166</v>
      </c>
      <c r="L881" s="38" t="n">
        <f aca="false">L868-L878</f>
        <v>188.529419941928</v>
      </c>
      <c r="M881" s="38" t="n">
        <f aca="false">M868-M878</f>
        <v>194.728602182589</v>
      </c>
    </row>
    <row r="883" customFormat="false" ht="15" hidden="false" customHeight="false" outlineLevel="0" collapsed="false">
      <c r="A883" s="24" t="s">
        <v>164</v>
      </c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</row>
    <row r="884" customFormat="false" ht="15" hidden="false" customHeight="false" outlineLevel="0" collapsed="false">
      <c r="A884" s="26" t="s">
        <v>165</v>
      </c>
      <c r="B884" s="36" t="s">
        <v>55</v>
      </c>
      <c r="D884" s="37" t="n">
        <f aca="false">IF(Inputs!D$6&lt;=Inputs!$C$41,$C$859/Inputs!$C$41,0)</f>
        <v>8.855</v>
      </c>
      <c r="E884" s="37" t="n">
        <f aca="false">IF(Inputs!E$6&lt;=Inputs!$C$41,$C$859/Inputs!$C$41,0)</f>
        <v>8.855</v>
      </c>
      <c r="F884" s="37" t="n">
        <f aca="false">IF(Inputs!F$6&lt;=Inputs!$C$41,$C$859/Inputs!$C$41,0)</f>
        <v>8.855</v>
      </c>
      <c r="G884" s="37" t="n">
        <f aca="false">IF(Inputs!G$6&lt;=Inputs!$C$41,$C$859/Inputs!$C$41,0)</f>
        <v>8.855</v>
      </c>
      <c r="H884" s="37" t="n">
        <f aca="false">IF(Inputs!H$6&lt;=Inputs!$C$41,$C$859/Inputs!$C$41,0)</f>
        <v>8.855</v>
      </c>
      <c r="I884" s="37" t="n">
        <f aca="false">IF(Inputs!I$6&lt;=Inputs!$C$41,$C$859/Inputs!$C$41,0)</f>
        <v>8.855</v>
      </c>
      <c r="J884" s="37" t="n">
        <f aca="false">IF(Inputs!J$6&lt;=Inputs!$C$41,$C$859/Inputs!$C$41,0)</f>
        <v>8.855</v>
      </c>
      <c r="K884" s="37" t="n">
        <f aca="false">IF(Inputs!K$6&lt;=Inputs!$C$41,$C$859/Inputs!$C$41,0)</f>
        <v>8.855</v>
      </c>
      <c r="L884" s="37" t="n">
        <f aca="false">IF(Inputs!L$6&lt;=Inputs!$C$41,$C$859/Inputs!$C$41,0)</f>
        <v>8.855</v>
      </c>
      <c r="M884" s="37" t="n">
        <f aca="false">IF(Inputs!M$6&lt;=Inputs!$C$41,$C$859/Inputs!$C$41,0)</f>
        <v>8.855</v>
      </c>
    </row>
    <row r="885" customFormat="false" ht="15" hidden="false" customHeight="false" outlineLevel="0" collapsed="false">
      <c r="A885" s="26" t="s">
        <v>166</v>
      </c>
      <c r="B885" s="36" t="s">
        <v>55</v>
      </c>
      <c r="D885" s="37" t="n">
        <f aca="false">IF(Inputs!D$6&lt;=Inputs!$C$42,$C$861/Inputs!$C$42,0)</f>
        <v>33.033</v>
      </c>
      <c r="E885" s="37" t="n">
        <f aca="false">IF(Inputs!E$6&lt;=Inputs!$C$42,$C$861/Inputs!$C$42,0)</f>
        <v>33.033</v>
      </c>
      <c r="F885" s="37" t="n">
        <f aca="false">IF(Inputs!F$6&lt;=Inputs!$C$42,$C$861/Inputs!$C$42,0)</f>
        <v>33.033</v>
      </c>
      <c r="G885" s="37" t="n">
        <f aca="false">IF(Inputs!G$6&lt;=Inputs!$C$42,$C$861/Inputs!$C$42,0)</f>
        <v>33.033</v>
      </c>
      <c r="H885" s="37" t="n">
        <f aca="false">IF(Inputs!H$6&lt;=Inputs!$C$42,$C$861/Inputs!$C$42,0)</f>
        <v>33.033</v>
      </c>
      <c r="I885" s="37" t="n">
        <f aca="false">IF(Inputs!I$6&lt;=Inputs!$C$42,$C$861/Inputs!$C$42,0)</f>
        <v>33.033</v>
      </c>
      <c r="J885" s="37" t="n">
        <f aca="false">IF(Inputs!J$6&lt;=Inputs!$C$42,$C$861/Inputs!$C$42,0)</f>
        <v>33.033</v>
      </c>
      <c r="K885" s="37" t="n">
        <f aca="false">IF(Inputs!K$6&lt;=Inputs!$C$42,$C$861/Inputs!$C$42,0)</f>
        <v>33.033</v>
      </c>
      <c r="L885" s="37" t="n">
        <f aca="false">IF(Inputs!L$6&lt;=Inputs!$C$42,$C$861/Inputs!$C$42,0)</f>
        <v>33.033</v>
      </c>
      <c r="M885" s="37" t="n">
        <f aca="false">IF(Inputs!M$6&lt;=Inputs!$C$42,$C$861/Inputs!$C$42,0)</f>
        <v>33.033</v>
      </c>
    </row>
    <row r="886" customFormat="false" ht="15" hidden="false" customHeight="false" outlineLevel="0" collapsed="false">
      <c r="A886" s="26" t="s">
        <v>167</v>
      </c>
      <c r="B886" s="36" t="s">
        <v>55</v>
      </c>
      <c r="D886" s="37" t="n">
        <f aca="false">IF(Inputs!D$6&lt;=Inputs!$C$43,$C$847/Inputs!$C$43,0)</f>
        <v>4.84</v>
      </c>
      <c r="E886" s="37" t="n">
        <f aca="false">IF(Inputs!E$6&lt;=Inputs!$C$43,$C$847/Inputs!$C$43,0)</f>
        <v>4.84</v>
      </c>
      <c r="F886" s="37" t="n">
        <f aca="false">IF(Inputs!F$6&lt;=Inputs!$C$43,$C$847/Inputs!$C$43,0)</f>
        <v>4.84</v>
      </c>
      <c r="G886" s="37" t="n">
        <f aca="false">IF(Inputs!G$6&lt;=Inputs!$C$43,$C$847/Inputs!$C$43,0)</f>
        <v>4.84</v>
      </c>
      <c r="H886" s="37" t="n">
        <f aca="false">IF(Inputs!H$6&lt;=Inputs!$C$43,$C$847/Inputs!$C$43,0)</f>
        <v>4.84</v>
      </c>
      <c r="I886" s="37" t="n">
        <f aca="false">IF(Inputs!I$6&lt;=Inputs!$C$43,$C$847/Inputs!$C$43,0)</f>
        <v>0</v>
      </c>
      <c r="J886" s="37" t="n">
        <f aca="false">IF(Inputs!J$6&lt;=Inputs!$C$43,$C$847/Inputs!$C$43,0)</f>
        <v>0</v>
      </c>
      <c r="K886" s="37" t="n">
        <f aca="false">IF(Inputs!K$6&lt;=Inputs!$C$43,$C$847/Inputs!$C$43,0)</f>
        <v>0</v>
      </c>
      <c r="L886" s="37" t="n">
        <f aca="false">IF(Inputs!L$6&lt;=Inputs!$C$43,$C$847/Inputs!$C$43,0)</f>
        <v>0</v>
      </c>
      <c r="M886" s="37" t="n">
        <f aca="false">IF(Inputs!M$6&lt;=Inputs!$C$43,$C$847/Inputs!$C$43,0)</f>
        <v>0</v>
      </c>
    </row>
    <row r="887" customFormat="false" ht="15" hidden="false" customHeight="false" outlineLevel="0" collapsed="false">
      <c r="A887" s="9" t="s">
        <v>168</v>
      </c>
      <c r="B887" s="36" t="s">
        <v>55</v>
      </c>
      <c r="D887" s="38" t="n">
        <f aca="false">SUM(D884:D886)</f>
        <v>46.728</v>
      </c>
      <c r="E887" s="38" t="n">
        <f aca="false">SUM(E884:E886)</f>
        <v>46.728</v>
      </c>
      <c r="F887" s="38" t="n">
        <f aca="false">SUM(F884:F886)</f>
        <v>46.728</v>
      </c>
      <c r="G887" s="38" t="n">
        <f aca="false">SUM(G884:G886)</f>
        <v>46.728</v>
      </c>
      <c r="H887" s="38" t="n">
        <f aca="false">SUM(H884:H886)</f>
        <v>46.728</v>
      </c>
      <c r="I887" s="38" t="n">
        <f aca="false">SUM(I884:I886)</f>
        <v>41.888</v>
      </c>
      <c r="J887" s="38" t="n">
        <f aca="false">SUM(J884:J886)</f>
        <v>41.888</v>
      </c>
      <c r="K887" s="38" t="n">
        <f aca="false">SUM(K884:K886)</f>
        <v>41.888</v>
      </c>
      <c r="L887" s="38" t="n">
        <f aca="false">SUM(L884:L886)</f>
        <v>41.888</v>
      </c>
      <c r="M887" s="38" t="n">
        <f aca="false">SUM(M884:M886)</f>
        <v>41.888</v>
      </c>
    </row>
    <row r="888" customFormat="false" ht="15" hidden="false" customHeight="false" outlineLevel="0" collapsed="false">
      <c r="A888" s="26" t="s">
        <v>169</v>
      </c>
      <c r="B888" s="36" t="s">
        <v>55</v>
      </c>
      <c r="C888" s="37" t="n">
        <f aca="false">C848</f>
        <v>829.345</v>
      </c>
      <c r="D888" s="37" t="n">
        <f aca="false">C888-D887</f>
        <v>782.617</v>
      </c>
      <c r="E888" s="37" t="n">
        <f aca="false">D888-E887</f>
        <v>735.889</v>
      </c>
      <c r="F888" s="37" t="n">
        <f aca="false">E888-F887</f>
        <v>689.161</v>
      </c>
      <c r="G888" s="37" t="n">
        <f aca="false">F888-G887</f>
        <v>642.433</v>
      </c>
      <c r="H888" s="37" t="n">
        <f aca="false">G888-H887</f>
        <v>595.705</v>
      </c>
      <c r="I888" s="37" t="n">
        <f aca="false">H888-I887</f>
        <v>553.817</v>
      </c>
      <c r="J888" s="37" t="n">
        <f aca="false">I888-J887</f>
        <v>511.929</v>
      </c>
      <c r="K888" s="37" t="n">
        <f aca="false">J888-K887</f>
        <v>470.041</v>
      </c>
      <c r="L888" s="37" t="n">
        <f aca="false">K888-L887</f>
        <v>428.153</v>
      </c>
      <c r="M888" s="37" t="n">
        <f aca="false">L888-M887</f>
        <v>386.265</v>
      </c>
    </row>
    <row r="890" customFormat="false" ht="15" hidden="false" customHeight="false" outlineLevel="0" collapsed="false">
      <c r="A890" s="24" t="s">
        <v>170</v>
      </c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</row>
    <row r="891" customFormat="false" ht="15" hidden="false" customHeight="false" outlineLevel="0" collapsed="false">
      <c r="A891" s="26" t="s">
        <v>171</v>
      </c>
      <c r="B891" s="36" t="s">
        <v>55</v>
      </c>
      <c r="C891" s="37" t="n">
        <f aca="false">0</f>
        <v>0</v>
      </c>
      <c r="D891" s="37" t="n">
        <f aca="false">D868*Inputs!$C$45/Inputs!$C$47</f>
        <v>20.1390410958904</v>
      </c>
      <c r="E891" s="37" t="n">
        <f aca="false">E868*Inputs!$C$45/Inputs!$C$47</f>
        <v>24.7527123287671</v>
      </c>
      <c r="F891" s="37" t="n">
        <f aca="false">F868*Inputs!$C$45/Inputs!$C$47</f>
        <v>29.7032547945205</v>
      </c>
      <c r="G891" s="37" t="n">
        <f aca="false">G868*Inputs!$C$45/Inputs!$C$47</f>
        <v>32.9508106520548</v>
      </c>
      <c r="H891" s="37" t="n">
        <f aca="false">H868*Inputs!$C$45/Inputs!$C$47</f>
        <v>34.268843078137</v>
      </c>
      <c r="I891" s="37" t="n">
        <f aca="false">I868*Inputs!$C$45/Inputs!$C$47</f>
        <v>36.530586721294</v>
      </c>
      <c r="J891" s="37" t="n">
        <f aca="false">J868*Inputs!$C$45/Inputs!$C$47</f>
        <v>37.9918101901458</v>
      </c>
      <c r="K891" s="37" t="n">
        <f aca="false">K868*Inputs!$C$45/Inputs!$C$47</f>
        <v>39.5114825977516</v>
      </c>
      <c r="L891" s="37" t="n">
        <f aca="false">L868*Inputs!$C$45/Inputs!$C$47</f>
        <v>41.0919419016617</v>
      </c>
      <c r="M891" s="37" t="n">
        <f aca="false">M868*Inputs!$C$45/Inputs!$C$47</f>
        <v>42.7356195777282</v>
      </c>
    </row>
    <row r="892" customFormat="false" ht="15" hidden="false" customHeight="false" outlineLevel="0" collapsed="false">
      <c r="A892" s="26" t="s">
        <v>172</v>
      </c>
      <c r="B892" s="36" t="s">
        <v>55</v>
      </c>
      <c r="C892" s="37" t="n">
        <f aca="false">0</f>
        <v>0</v>
      </c>
      <c r="D892" s="37" t="n">
        <f aca="false">D878*Inputs!$C$46/Inputs!$C$47</f>
        <v>7.00197435616439</v>
      </c>
      <c r="E892" s="37" t="n">
        <f aca="false">E878*Inputs!$C$46/Inputs!$C$47</f>
        <v>7.78434875342466</v>
      </c>
      <c r="F892" s="37" t="n">
        <f aca="false">F878*Inputs!$C$46/Inputs!$C$47</f>
        <v>8.62840180068493</v>
      </c>
      <c r="G892" s="37" t="n">
        <f aca="false">G878*Inputs!$C$46/Inputs!$C$47</f>
        <v>9.28916933023562</v>
      </c>
      <c r="H892" s="37" t="n">
        <f aca="false">H878*Inputs!$C$46/Inputs!$C$47</f>
        <v>9.73507463747244</v>
      </c>
      <c r="I892" s="37" t="n">
        <f aca="false">I878*Inputs!$C$46/Inputs!$C$47</f>
        <v>10.3145431797117</v>
      </c>
      <c r="J892" s="37" t="n">
        <f aca="false">J878*Inputs!$C$46/Inputs!$C$47</f>
        <v>10.8151886235897</v>
      </c>
      <c r="K892" s="37" t="n">
        <f aca="false">K878*Inputs!$C$46/Inputs!$C$47</f>
        <v>11.3428678834464</v>
      </c>
      <c r="L892" s="37" t="n">
        <f aca="false">L878*Inputs!$C$46/Inputs!$C$47</f>
        <v>11.8990591720909</v>
      </c>
      <c r="M892" s="37" t="n">
        <f aca="false">M878*Inputs!$C$46/Inputs!$C$47</f>
        <v>12.485322461469</v>
      </c>
    </row>
    <row r="893" customFormat="false" ht="15" hidden="false" customHeight="false" outlineLevel="0" collapsed="false">
      <c r="A893" s="9" t="s">
        <v>173</v>
      </c>
      <c r="B893" s="36" t="s">
        <v>55</v>
      </c>
      <c r="C893" s="43" t="n">
        <f aca="false">C891-C892</f>
        <v>0</v>
      </c>
      <c r="D893" s="43" t="n">
        <f aca="false">D891-D892</f>
        <v>13.137066739726</v>
      </c>
      <c r="E893" s="43" t="n">
        <f aca="false">E891-E892</f>
        <v>16.9683635753425</v>
      </c>
      <c r="F893" s="43" t="n">
        <f aca="false">F891-F892</f>
        <v>21.0748529938356</v>
      </c>
      <c r="G893" s="43" t="n">
        <f aca="false">G891-G892</f>
        <v>23.6616413218192</v>
      </c>
      <c r="H893" s="43" t="n">
        <f aca="false">H891-H892</f>
        <v>24.5337684406646</v>
      </c>
      <c r="I893" s="43" t="n">
        <f aca="false">I891-I892</f>
        <v>26.2160435415823</v>
      </c>
      <c r="J893" s="43" t="n">
        <f aca="false">J891-J892</f>
        <v>27.1766215665561</v>
      </c>
      <c r="K893" s="43" t="n">
        <f aca="false">K891-K892</f>
        <v>28.1686147143053</v>
      </c>
      <c r="L893" s="43" t="n">
        <f aca="false">L891-L892</f>
        <v>29.1928827295708</v>
      </c>
      <c r="M893" s="43" t="n">
        <f aca="false">M891-M892</f>
        <v>30.2502971162592</v>
      </c>
    </row>
    <row r="894" customFormat="false" ht="15" hidden="false" customHeight="false" outlineLevel="0" collapsed="false">
      <c r="A894" s="24" t="s">
        <v>309</v>
      </c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</row>
    <row r="895" customFormat="false" ht="15" hidden="false" customHeight="false" outlineLevel="0" collapsed="false">
      <c r="A895" s="26" t="s">
        <v>176</v>
      </c>
      <c r="B895" s="36" t="s">
        <v>55</v>
      </c>
      <c r="C895" s="37" t="n">
        <f aca="false">0</f>
        <v>0</v>
      </c>
      <c r="D895" s="37" t="n">
        <f aca="false">C900</f>
        <v>508.407</v>
      </c>
      <c r="E895" s="37" t="n">
        <f aca="false">D900</f>
        <v>508.407</v>
      </c>
      <c r="F895" s="37" t="n">
        <f aca="false">E900</f>
        <v>508.407</v>
      </c>
      <c r="G895" s="37" t="n">
        <f aca="false">F900</f>
        <v>435.777428571429</v>
      </c>
      <c r="H895" s="37" t="n">
        <f aca="false">G900</f>
        <v>363.147857142857</v>
      </c>
      <c r="I895" s="37" t="n">
        <f aca="false">H900</f>
        <v>290.518285714286</v>
      </c>
      <c r="J895" s="37" t="n">
        <f aca="false">I900</f>
        <v>217.888714285714</v>
      </c>
      <c r="K895" s="37" t="n">
        <f aca="false">J900</f>
        <v>145.259142857143</v>
      </c>
      <c r="L895" s="37" t="n">
        <f aca="false">K900</f>
        <v>72.6295714285713</v>
      </c>
      <c r="M895" s="37" t="n">
        <f aca="false">L900</f>
        <v>0</v>
      </c>
    </row>
    <row r="896" customFormat="false" ht="15" hidden="false" customHeight="false" outlineLevel="0" collapsed="false">
      <c r="A896" s="26" t="s">
        <v>177</v>
      </c>
      <c r="B896" s="36" t="s">
        <v>55</v>
      </c>
      <c r="C896" s="37" t="n">
        <f aca="false">C853</f>
        <v>508.407</v>
      </c>
      <c r="D896" s="37" t="n">
        <f aca="false">0</f>
        <v>0</v>
      </c>
      <c r="E896" s="37" t="n">
        <f aca="false">0</f>
        <v>0</v>
      </c>
      <c r="F896" s="37" t="n">
        <f aca="false">0</f>
        <v>0</v>
      </c>
      <c r="G896" s="37" t="n">
        <f aca="false">0</f>
        <v>0</v>
      </c>
      <c r="H896" s="37" t="n">
        <f aca="false">0</f>
        <v>0</v>
      </c>
      <c r="I896" s="37" t="n">
        <f aca="false">0</f>
        <v>0</v>
      </c>
      <c r="J896" s="37" t="n">
        <f aca="false">0</f>
        <v>0</v>
      </c>
      <c r="K896" s="37" t="n">
        <f aca="false">0</f>
        <v>0</v>
      </c>
      <c r="L896" s="37" t="n">
        <f aca="false">0</f>
        <v>0</v>
      </c>
      <c r="M896" s="37" t="n">
        <f aca="false">0</f>
        <v>0</v>
      </c>
    </row>
    <row r="897" customFormat="false" ht="15" hidden="false" customHeight="false" outlineLevel="0" collapsed="false">
      <c r="A897" s="26" t="s">
        <v>178</v>
      </c>
      <c r="B897" s="36" t="s">
        <v>62</v>
      </c>
      <c r="C897" s="40" t="n">
        <f aca="false">Inputs!$C$21+Inputs!$G$66</f>
        <v>0.105</v>
      </c>
      <c r="D897" s="40" t="n">
        <f aca="false">Inputs!$C$21+Inputs!$G$66</f>
        <v>0.105</v>
      </c>
      <c r="E897" s="40" t="n">
        <f aca="false">Inputs!$C$21+Inputs!$G$66</f>
        <v>0.105</v>
      </c>
      <c r="F897" s="40" t="n">
        <f aca="false">Inputs!$C$21+Inputs!$G$66</f>
        <v>0.105</v>
      </c>
      <c r="G897" s="40" t="n">
        <f aca="false">Inputs!$C$21+Inputs!$G$66</f>
        <v>0.105</v>
      </c>
      <c r="H897" s="40" t="n">
        <f aca="false">Inputs!$C$21+Inputs!$G$66</f>
        <v>0.105</v>
      </c>
      <c r="I897" s="40" t="n">
        <f aca="false">Inputs!$C$21+Inputs!$G$66</f>
        <v>0.105</v>
      </c>
      <c r="J897" s="40" t="n">
        <f aca="false">Inputs!$C$21+Inputs!$G$66</f>
        <v>0.105</v>
      </c>
      <c r="K897" s="40" t="n">
        <f aca="false">Inputs!$C$21+Inputs!$G$66</f>
        <v>0.105</v>
      </c>
      <c r="L897" s="40" t="n">
        <f aca="false">Inputs!$C$21+Inputs!$G$66</f>
        <v>0.105</v>
      </c>
      <c r="M897" s="40" t="n">
        <f aca="false">Inputs!$C$21+Inputs!$G$66</f>
        <v>0.105</v>
      </c>
    </row>
    <row r="898" customFormat="false" ht="15" hidden="false" customHeight="false" outlineLevel="0" collapsed="false">
      <c r="A898" s="26" t="s">
        <v>179</v>
      </c>
      <c r="B898" s="36" t="s">
        <v>55</v>
      </c>
      <c r="C898" s="37" t="n">
        <f aca="false">0</f>
        <v>0</v>
      </c>
      <c r="D898" s="37" t="n">
        <f aca="false">D895*D897</f>
        <v>53.382735</v>
      </c>
      <c r="E898" s="37" t="n">
        <f aca="false">E895*E897</f>
        <v>53.382735</v>
      </c>
      <c r="F898" s="37" t="n">
        <f aca="false">F895*F897</f>
        <v>53.382735</v>
      </c>
      <c r="G898" s="37" t="n">
        <f aca="false">G895*G897</f>
        <v>45.75663</v>
      </c>
      <c r="H898" s="37" t="n">
        <f aca="false">H895*H897</f>
        <v>38.130525</v>
      </c>
      <c r="I898" s="37" t="n">
        <f aca="false">I895*I897</f>
        <v>30.50442</v>
      </c>
      <c r="J898" s="37" t="n">
        <f aca="false">J895*J897</f>
        <v>22.878315</v>
      </c>
      <c r="K898" s="37" t="n">
        <f aca="false">K895*K897</f>
        <v>15.25221</v>
      </c>
      <c r="L898" s="37" t="n">
        <f aca="false">L895*L897</f>
        <v>7.62610499999999</v>
      </c>
      <c r="M898" s="37" t="n">
        <f aca="false">M895*M897</f>
        <v>0</v>
      </c>
    </row>
    <row r="899" customFormat="false" ht="15" hidden="false" customHeight="false" outlineLevel="0" collapsed="false">
      <c r="A899" s="26" t="s">
        <v>180</v>
      </c>
      <c r="B899" s="36" t="s">
        <v>55</v>
      </c>
      <c r="C899" s="37" t="n">
        <f aca="false">0</f>
        <v>0</v>
      </c>
      <c r="D899" s="37" t="n">
        <f aca="false">IF(AND(Inputs!D$6&gt;Inputs!$C$22,Inputs!D$6&lt;=Inputs!$C$22+Inputs!$C$23),MIN(D895,$C$853/Inputs!$C$23),0)</f>
        <v>0</v>
      </c>
      <c r="E899" s="37" t="n">
        <f aca="false">IF(AND(Inputs!E$6&gt;Inputs!$C$22,Inputs!E$6&lt;=Inputs!$C$22+Inputs!$C$23),MIN(E895,$C$853/Inputs!$C$23),0)</f>
        <v>0</v>
      </c>
      <c r="F899" s="37" t="n">
        <f aca="false">IF(AND(Inputs!F$6&gt;Inputs!$C$22,Inputs!F$6&lt;=Inputs!$C$22+Inputs!$C$23),MIN(F895,$C$853/Inputs!$C$23),0)</f>
        <v>72.6295714285714</v>
      </c>
      <c r="G899" s="37" t="n">
        <f aca="false">IF(AND(Inputs!G$6&gt;Inputs!$C$22,Inputs!G$6&lt;=Inputs!$C$22+Inputs!$C$23),MIN(G895,$C$853/Inputs!$C$23),0)</f>
        <v>72.6295714285714</v>
      </c>
      <c r="H899" s="37" t="n">
        <f aca="false">IF(AND(Inputs!H$6&gt;Inputs!$C$22,Inputs!H$6&lt;=Inputs!$C$22+Inputs!$C$23),MIN(H895,$C$853/Inputs!$C$23),0)</f>
        <v>72.6295714285714</v>
      </c>
      <c r="I899" s="37" t="n">
        <f aca="false">IF(AND(Inputs!I$6&gt;Inputs!$C$22,Inputs!I$6&lt;=Inputs!$C$22+Inputs!$C$23),MIN(I895,$C$853/Inputs!$C$23),0)</f>
        <v>72.6295714285714</v>
      </c>
      <c r="J899" s="37" t="n">
        <f aca="false">IF(AND(Inputs!J$6&gt;Inputs!$C$22,Inputs!J$6&lt;=Inputs!$C$22+Inputs!$C$23),MIN(J895,$C$853/Inputs!$C$23),0)</f>
        <v>72.6295714285714</v>
      </c>
      <c r="K899" s="37" t="n">
        <f aca="false">IF(AND(Inputs!K$6&gt;Inputs!$C$22,Inputs!K$6&lt;=Inputs!$C$22+Inputs!$C$23),MIN(K895,$C$853/Inputs!$C$23),0)</f>
        <v>72.6295714285714</v>
      </c>
      <c r="L899" s="37" t="n">
        <f aca="false">IF(AND(Inputs!L$6&gt;Inputs!$C$22,Inputs!L$6&lt;=Inputs!$C$22+Inputs!$C$23),MIN(L895,$C$853/Inputs!$C$23),0)</f>
        <v>72.6295714285713</v>
      </c>
      <c r="M899" s="37" t="n">
        <f aca="false">IF(AND(Inputs!M$6&gt;Inputs!$C$22,Inputs!M$6&lt;=Inputs!$C$22+Inputs!$C$23),MIN(M895,$C$853/Inputs!$C$23),0)</f>
        <v>0</v>
      </c>
    </row>
    <row r="900" customFormat="false" ht="15" hidden="false" customHeight="false" outlineLevel="0" collapsed="false">
      <c r="A900" s="9" t="s">
        <v>181</v>
      </c>
      <c r="B900" s="36" t="s">
        <v>55</v>
      </c>
      <c r="C900" s="38" t="n">
        <f aca="false">C895+C896-C899</f>
        <v>508.407</v>
      </c>
      <c r="D900" s="38" t="n">
        <f aca="false">D895+D896-D899</f>
        <v>508.407</v>
      </c>
      <c r="E900" s="38" t="n">
        <f aca="false">E895+E896-E899</f>
        <v>508.407</v>
      </c>
      <c r="F900" s="38" t="n">
        <f aca="false">F895+F896-F899</f>
        <v>435.777428571429</v>
      </c>
      <c r="G900" s="38" t="n">
        <f aca="false">G895+G896-G899</f>
        <v>363.147857142857</v>
      </c>
      <c r="H900" s="38" t="n">
        <f aca="false">H895+H896-H899</f>
        <v>290.518285714286</v>
      </c>
      <c r="I900" s="38" t="n">
        <f aca="false">I895+I896-I899</f>
        <v>217.888714285714</v>
      </c>
      <c r="J900" s="38" t="n">
        <f aca="false">J895+J896-J899</f>
        <v>145.259142857143</v>
      </c>
      <c r="K900" s="38" t="n">
        <f aca="false">K895+K896-K899</f>
        <v>72.6295714285713</v>
      </c>
      <c r="L900" s="38" t="n">
        <f aca="false">L895+L896-L899</f>
        <v>0</v>
      </c>
      <c r="M900" s="38" t="n">
        <f aca="false">M895+M896-M899</f>
        <v>0</v>
      </c>
    </row>
    <row r="901" customFormat="false" ht="15" hidden="false" customHeight="false" outlineLevel="0" collapsed="false">
      <c r="A901" s="24" t="s">
        <v>310</v>
      </c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</row>
    <row r="902" customFormat="false" ht="15" hidden="false" customHeight="false" outlineLevel="0" collapsed="false">
      <c r="A902" s="26" t="s">
        <v>152</v>
      </c>
      <c r="B902" s="36" t="s">
        <v>55</v>
      </c>
      <c r="D902" s="37" t="n">
        <f aca="false">D868</f>
        <v>163.35</v>
      </c>
      <c r="E902" s="37" t="n">
        <f aca="false">E868</f>
        <v>200.772</v>
      </c>
      <c r="F902" s="37" t="n">
        <f aca="false">F868</f>
        <v>240.9264</v>
      </c>
      <c r="G902" s="37" t="n">
        <f aca="false">G868</f>
        <v>267.2676864</v>
      </c>
      <c r="H902" s="37" t="n">
        <f aca="false">H868</f>
        <v>277.958393856</v>
      </c>
      <c r="I902" s="37" t="n">
        <f aca="false">I868</f>
        <v>296.303647850496</v>
      </c>
      <c r="J902" s="37" t="n">
        <f aca="false">J868</f>
        <v>308.155793764516</v>
      </c>
      <c r="K902" s="37" t="n">
        <f aca="false">K868</f>
        <v>320.482025515097</v>
      </c>
      <c r="L902" s="37" t="n">
        <f aca="false">L868</f>
        <v>333.3013065357</v>
      </c>
      <c r="M902" s="37" t="n">
        <f aca="false">M868</f>
        <v>346.633358797128</v>
      </c>
    </row>
    <row r="903" customFormat="false" ht="15" hidden="false" customHeight="false" outlineLevel="0" collapsed="false">
      <c r="A903" s="26" t="s">
        <v>77</v>
      </c>
      <c r="B903" s="36" t="s">
        <v>55</v>
      </c>
      <c r="D903" s="37" t="n">
        <f aca="false">D878</f>
        <v>85.190688</v>
      </c>
      <c r="E903" s="37" t="n">
        <f aca="false">E878</f>
        <v>94.7095765</v>
      </c>
      <c r="F903" s="37" t="n">
        <f aca="false">F878</f>
        <v>104.978888575</v>
      </c>
      <c r="G903" s="37" t="n">
        <f aca="false">G878</f>
        <v>113.0182268512</v>
      </c>
      <c r="H903" s="37" t="n">
        <f aca="false">H878</f>
        <v>118.443408089248</v>
      </c>
      <c r="I903" s="37" t="n">
        <f aca="false">I878</f>
        <v>125.493608686493</v>
      </c>
      <c r="J903" s="37" t="n">
        <f aca="false">J878</f>
        <v>131.584794920342</v>
      </c>
      <c r="K903" s="37" t="n">
        <f aca="false">K878</f>
        <v>138.004892581931</v>
      </c>
      <c r="L903" s="37" t="n">
        <f aca="false">L878</f>
        <v>144.771886593772</v>
      </c>
      <c r="M903" s="37" t="n">
        <f aca="false">M878</f>
        <v>151.904756614539</v>
      </c>
    </row>
    <row r="904" customFormat="false" ht="15" hidden="false" customHeight="false" outlineLevel="0" collapsed="false">
      <c r="A904" s="9" t="s">
        <v>20</v>
      </c>
      <c r="B904" s="36" t="s">
        <v>55</v>
      </c>
      <c r="D904" s="38" t="n">
        <f aca="false">D902-D903</f>
        <v>78.159312</v>
      </c>
      <c r="E904" s="38" t="n">
        <f aca="false">E902-E903</f>
        <v>106.0624235</v>
      </c>
      <c r="F904" s="38" t="n">
        <f aca="false">F902-F903</f>
        <v>135.947511425</v>
      </c>
      <c r="G904" s="38" t="n">
        <f aca="false">G902-G903</f>
        <v>154.2494595488</v>
      </c>
      <c r="H904" s="38" t="n">
        <f aca="false">H902-H903</f>
        <v>159.514985766752</v>
      </c>
      <c r="I904" s="38" t="n">
        <f aca="false">I902-I903</f>
        <v>170.810039164003</v>
      </c>
      <c r="J904" s="38" t="n">
        <f aca="false">J902-J903</f>
        <v>176.570998844174</v>
      </c>
      <c r="K904" s="38" t="n">
        <f aca="false">K902-K903</f>
        <v>182.477132933166</v>
      </c>
      <c r="L904" s="38" t="n">
        <f aca="false">L902-L903</f>
        <v>188.529419941928</v>
      </c>
      <c r="M904" s="38" t="n">
        <f aca="false">M902-M903</f>
        <v>194.728602182589</v>
      </c>
    </row>
    <row r="905" customFormat="false" ht="15" hidden="false" customHeight="false" outlineLevel="0" collapsed="false">
      <c r="A905" s="26" t="s">
        <v>184</v>
      </c>
      <c r="B905" s="36" t="s">
        <v>62</v>
      </c>
      <c r="D905" s="40" t="n">
        <f aca="false">IF(D902=0,0,D904/D902)</f>
        <v>0.478477575757576</v>
      </c>
      <c r="E905" s="40" t="n">
        <f aca="false">IF(E902=0,0,E904/E902)</f>
        <v>0.528272983782599</v>
      </c>
      <c r="F905" s="40" t="n">
        <f aca="false">IF(F902=0,0,F904/F902)</f>
        <v>0.56426988252429</v>
      </c>
      <c r="G905" s="40" t="n">
        <f aca="false">IF(G902=0,0,G904/G902)</f>
        <v>0.577134713240066</v>
      </c>
      <c r="H905" s="40" t="n">
        <f aca="false">IF(H902=0,0,H904/H902)</f>
        <v>0.573880801201459</v>
      </c>
      <c r="I905" s="40" t="n">
        <f aca="false">IF(I902=0,0,I904/I902)</f>
        <v>0.576469579106187</v>
      </c>
      <c r="J905" s="40" t="n">
        <f aca="false">IF(J902=0,0,J904/J902)</f>
        <v>0.572992630406634</v>
      </c>
      <c r="K905" s="40" t="n">
        <f aca="false">IF(K902=0,0,K904/K902)</f>
        <v>0.569383361328544</v>
      </c>
      <c r="L905" s="40" t="n">
        <f aca="false">IF(L902=0,0,L904/L902)</f>
        <v>0.565642606989704</v>
      </c>
      <c r="M905" s="40" t="n">
        <f aca="false">IF(M902=0,0,M904/M902)</f>
        <v>0.561771096868253</v>
      </c>
    </row>
    <row r="906" customFormat="false" ht="15" hidden="false" customHeight="false" outlineLevel="0" collapsed="false">
      <c r="A906" s="26" t="s">
        <v>185</v>
      </c>
      <c r="B906" s="36" t="s">
        <v>55</v>
      </c>
      <c r="D906" s="37" t="n">
        <f aca="false">D887</f>
        <v>46.728</v>
      </c>
      <c r="E906" s="37" t="n">
        <f aca="false">E887</f>
        <v>46.728</v>
      </c>
      <c r="F906" s="37" t="n">
        <f aca="false">F887</f>
        <v>46.728</v>
      </c>
      <c r="G906" s="37" t="n">
        <f aca="false">G887</f>
        <v>46.728</v>
      </c>
      <c r="H906" s="37" t="n">
        <f aca="false">H887</f>
        <v>46.728</v>
      </c>
      <c r="I906" s="37" t="n">
        <f aca="false">I887</f>
        <v>41.888</v>
      </c>
      <c r="J906" s="37" t="n">
        <f aca="false">J887</f>
        <v>41.888</v>
      </c>
      <c r="K906" s="37" t="n">
        <f aca="false">K887</f>
        <v>41.888</v>
      </c>
      <c r="L906" s="37" t="n">
        <f aca="false">L887</f>
        <v>41.888</v>
      </c>
      <c r="M906" s="37" t="n">
        <f aca="false">M887</f>
        <v>41.888</v>
      </c>
    </row>
    <row r="907" customFormat="false" ht="15" hidden="false" customHeight="false" outlineLevel="0" collapsed="false">
      <c r="A907" s="9" t="s">
        <v>186</v>
      </c>
      <c r="B907" s="36" t="s">
        <v>55</v>
      </c>
      <c r="D907" s="43" t="n">
        <f aca="false">D904-D906</f>
        <v>31.431312</v>
      </c>
      <c r="E907" s="43" t="n">
        <f aca="false">E904-E906</f>
        <v>59.3344235</v>
      </c>
      <c r="F907" s="43" t="n">
        <f aca="false">F904-F906</f>
        <v>89.219511425</v>
      </c>
      <c r="G907" s="43" t="n">
        <f aca="false">G904-G906</f>
        <v>107.5214595488</v>
      </c>
      <c r="H907" s="43" t="n">
        <f aca="false">H904-H906</f>
        <v>112.786985766752</v>
      </c>
      <c r="I907" s="43" t="n">
        <f aca="false">I904-I906</f>
        <v>128.922039164003</v>
      </c>
      <c r="J907" s="43" t="n">
        <f aca="false">J904-J906</f>
        <v>134.682998844174</v>
      </c>
      <c r="K907" s="43" t="n">
        <f aca="false">K904-K906</f>
        <v>140.589132933166</v>
      </c>
      <c r="L907" s="43" t="n">
        <f aca="false">L904-L906</f>
        <v>146.641419941928</v>
      </c>
      <c r="M907" s="43" t="n">
        <f aca="false">M904-M906</f>
        <v>152.840602182589</v>
      </c>
    </row>
    <row r="908" customFormat="false" ht="15" hidden="false" customHeight="false" outlineLevel="0" collapsed="false">
      <c r="A908" s="26" t="s">
        <v>187</v>
      </c>
      <c r="B908" s="36" t="s">
        <v>55</v>
      </c>
      <c r="D908" s="37" t="n">
        <f aca="false">D898</f>
        <v>53.382735</v>
      </c>
      <c r="E908" s="37" t="n">
        <f aca="false">E898</f>
        <v>53.382735</v>
      </c>
      <c r="F908" s="37" t="n">
        <f aca="false">F898</f>
        <v>53.382735</v>
      </c>
      <c r="G908" s="37" t="n">
        <f aca="false">G898</f>
        <v>45.75663</v>
      </c>
      <c r="H908" s="37" t="n">
        <f aca="false">H898</f>
        <v>38.130525</v>
      </c>
      <c r="I908" s="37" t="n">
        <f aca="false">I898</f>
        <v>30.50442</v>
      </c>
      <c r="J908" s="37" t="n">
        <f aca="false">J898</f>
        <v>22.878315</v>
      </c>
      <c r="K908" s="37" t="n">
        <f aca="false">K898</f>
        <v>15.25221</v>
      </c>
      <c r="L908" s="37" t="n">
        <f aca="false">L898</f>
        <v>7.62610499999999</v>
      </c>
      <c r="M908" s="37" t="n">
        <f aca="false">M898</f>
        <v>0</v>
      </c>
    </row>
    <row r="909" customFormat="false" ht="15" hidden="false" customHeight="false" outlineLevel="0" collapsed="false">
      <c r="A909" s="9" t="s">
        <v>188</v>
      </c>
      <c r="B909" s="36" t="s">
        <v>55</v>
      </c>
      <c r="D909" s="38" t="n">
        <f aca="false">D907-D908</f>
        <v>-21.951423</v>
      </c>
      <c r="E909" s="38" t="n">
        <f aca="false">E907-E908</f>
        <v>5.9516885</v>
      </c>
      <c r="F909" s="38" t="n">
        <f aca="false">F907-F908</f>
        <v>35.836776425</v>
      </c>
      <c r="G909" s="38" t="n">
        <f aca="false">G907-G908</f>
        <v>61.7648295488</v>
      </c>
      <c r="H909" s="38" t="n">
        <f aca="false">H907-H908</f>
        <v>74.6564607667521</v>
      </c>
      <c r="I909" s="38" t="n">
        <f aca="false">I907-I908</f>
        <v>98.4176191640034</v>
      </c>
      <c r="J909" s="38" t="n">
        <f aca="false">J907-J908</f>
        <v>111.804683844174</v>
      </c>
      <c r="K909" s="38" t="n">
        <f aca="false">K907-K908</f>
        <v>125.336922933166</v>
      </c>
      <c r="L909" s="38" t="n">
        <f aca="false">L907-L908</f>
        <v>139.015314941928</v>
      </c>
      <c r="M909" s="38" t="n">
        <f aca="false">M907-M908</f>
        <v>152.840602182589</v>
      </c>
    </row>
    <row r="910" customFormat="false" ht="15" hidden="false" customHeight="false" outlineLevel="0" collapsed="false">
      <c r="A910" s="26" t="s">
        <v>189</v>
      </c>
      <c r="B910" s="36" t="s">
        <v>55</v>
      </c>
      <c r="D910" s="37" t="n">
        <f aca="false">0</f>
        <v>0</v>
      </c>
      <c r="E910" s="37" t="n">
        <f aca="false">D912</f>
        <v>21.951423</v>
      </c>
      <c r="F910" s="37" t="n">
        <f aca="false">E912</f>
        <v>15.9997345</v>
      </c>
      <c r="G910" s="37" t="n">
        <f aca="false">F912</f>
        <v>0</v>
      </c>
      <c r="H910" s="37" t="n">
        <f aca="false">G912</f>
        <v>0</v>
      </c>
      <c r="I910" s="37" t="n">
        <f aca="false">H912</f>
        <v>0</v>
      </c>
      <c r="J910" s="37" t="n">
        <f aca="false">I912</f>
        <v>0</v>
      </c>
      <c r="K910" s="37" t="n">
        <f aca="false">J912</f>
        <v>0</v>
      </c>
      <c r="L910" s="37" t="n">
        <f aca="false">K912</f>
        <v>0</v>
      </c>
      <c r="M910" s="37" t="n">
        <f aca="false">L912</f>
        <v>0</v>
      </c>
    </row>
    <row r="911" customFormat="false" ht="15" hidden="false" customHeight="false" outlineLevel="0" collapsed="false">
      <c r="A911" s="26" t="s">
        <v>190</v>
      </c>
      <c r="B911" s="36" t="s">
        <v>55</v>
      </c>
      <c r="D911" s="37" t="n">
        <f aca="false">MAX(0,D909-D910)</f>
        <v>0</v>
      </c>
      <c r="E911" s="37" t="n">
        <f aca="false">MAX(0,E909-E910)</f>
        <v>0</v>
      </c>
      <c r="F911" s="37" t="n">
        <f aca="false">MAX(0,F909-F910)</f>
        <v>19.8370419249999</v>
      </c>
      <c r="G911" s="37" t="n">
        <f aca="false">MAX(0,G909-G910)</f>
        <v>61.7648295488</v>
      </c>
      <c r="H911" s="37" t="n">
        <f aca="false">MAX(0,H909-H910)</f>
        <v>74.6564607667521</v>
      </c>
      <c r="I911" s="37" t="n">
        <f aca="false">MAX(0,I909-I910)</f>
        <v>98.4176191640034</v>
      </c>
      <c r="J911" s="37" t="n">
        <f aca="false">MAX(0,J909-J910)</f>
        <v>111.804683844174</v>
      </c>
      <c r="K911" s="37" t="n">
        <f aca="false">MAX(0,K909-K910)</f>
        <v>125.336922933166</v>
      </c>
      <c r="L911" s="37" t="n">
        <f aca="false">MAX(0,L909-L910)</f>
        <v>139.015314941928</v>
      </c>
      <c r="M911" s="37" t="n">
        <f aca="false">MAX(0,M909-M910)</f>
        <v>152.840602182589</v>
      </c>
    </row>
    <row r="912" customFormat="false" ht="15" hidden="false" customHeight="false" outlineLevel="0" collapsed="false">
      <c r="A912" s="26" t="s">
        <v>191</v>
      </c>
      <c r="B912" s="36" t="s">
        <v>55</v>
      </c>
      <c r="D912" s="37" t="n">
        <f aca="false">MAX(0,D910-D909)</f>
        <v>21.951423</v>
      </c>
      <c r="E912" s="37" t="n">
        <f aca="false">MAX(0,E910-E909)</f>
        <v>15.9997345</v>
      </c>
      <c r="F912" s="37" t="n">
        <f aca="false">MAX(0,F910-F909)</f>
        <v>0</v>
      </c>
      <c r="G912" s="37" t="n">
        <f aca="false">MAX(0,G910-G909)</f>
        <v>0</v>
      </c>
      <c r="H912" s="37" t="n">
        <f aca="false">MAX(0,H910-H909)</f>
        <v>0</v>
      </c>
      <c r="I912" s="37" t="n">
        <f aca="false">MAX(0,I910-I909)</f>
        <v>0</v>
      </c>
      <c r="J912" s="37" t="n">
        <f aca="false">MAX(0,J910-J909)</f>
        <v>0</v>
      </c>
      <c r="K912" s="37" t="n">
        <f aca="false">MAX(0,K910-K909)</f>
        <v>0</v>
      </c>
      <c r="L912" s="37" t="n">
        <f aca="false">MAX(0,L910-L909)</f>
        <v>0</v>
      </c>
      <c r="M912" s="37" t="n">
        <f aca="false">MAX(0,M910-M909)</f>
        <v>0</v>
      </c>
    </row>
    <row r="913" customFormat="false" ht="15" hidden="false" customHeight="false" outlineLevel="0" collapsed="false">
      <c r="A913" s="26" t="s">
        <v>192</v>
      </c>
      <c r="B913" s="36" t="s">
        <v>55</v>
      </c>
      <c r="D913" s="37" t="n">
        <f aca="false">D911*Inputs!$C$44</f>
        <v>0</v>
      </c>
      <c r="E913" s="37" t="n">
        <f aca="false">E911*Inputs!$C$44</f>
        <v>0</v>
      </c>
      <c r="F913" s="37" t="n">
        <f aca="false">F911*Inputs!$C$44</f>
        <v>4.99298345252249</v>
      </c>
      <c r="G913" s="37" t="n">
        <f aca="false">G911*Inputs!$C$44</f>
        <v>15.546207597433</v>
      </c>
      <c r="H913" s="37" t="n">
        <f aca="false">H911*Inputs!$C$44</f>
        <v>18.7910311749915</v>
      </c>
      <c r="I913" s="37" t="n">
        <f aca="false">I911*Inputs!$C$44</f>
        <v>24.7717147435796</v>
      </c>
      <c r="J913" s="37" t="n">
        <f aca="false">J911*Inputs!$C$44</f>
        <v>28.1412389235786</v>
      </c>
      <c r="K913" s="37" t="n">
        <f aca="false">K911*Inputs!$C$44</f>
        <v>31.5473035022778</v>
      </c>
      <c r="L913" s="37" t="n">
        <f aca="false">L911*Inputs!$C$44</f>
        <v>34.9901547708833</v>
      </c>
      <c r="M913" s="37" t="n">
        <f aca="false">M911*Inputs!$C$44</f>
        <v>38.4699795693578</v>
      </c>
    </row>
    <row r="914" customFormat="false" ht="15" hidden="false" customHeight="false" outlineLevel="0" collapsed="false">
      <c r="A914" s="9" t="s">
        <v>193</v>
      </c>
      <c r="B914" s="36" t="s">
        <v>55</v>
      </c>
      <c r="D914" s="38" t="n">
        <f aca="false">D909-D913</f>
        <v>-21.951423</v>
      </c>
      <c r="E914" s="38" t="n">
        <f aca="false">E909-E913</f>
        <v>5.9516885</v>
      </c>
      <c r="F914" s="38" t="n">
        <f aca="false">F909-F913</f>
        <v>30.8437929724775</v>
      </c>
      <c r="G914" s="38" t="n">
        <f aca="false">G909-G913</f>
        <v>46.218621951367</v>
      </c>
      <c r="H914" s="38" t="n">
        <f aca="false">H909-H913</f>
        <v>55.8654295917606</v>
      </c>
      <c r="I914" s="38" t="n">
        <f aca="false">I909-I913</f>
        <v>73.6459044204237</v>
      </c>
      <c r="J914" s="38" t="n">
        <f aca="false">J909-J913</f>
        <v>83.6634449205955</v>
      </c>
      <c r="K914" s="38" t="n">
        <f aca="false">K909-K913</f>
        <v>93.789619430888</v>
      </c>
      <c r="L914" s="38" t="n">
        <f aca="false">L909-L913</f>
        <v>104.025160171045</v>
      </c>
      <c r="M914" s="38" t="n">
        <f aca="false">M909-M913</f>
        <v>114.370622613232</v>
      </c>
    </row>
    <row r="915" customFormat="false" ht="15" hidden="false" customHeight="false" outlineLevel="0" collapsed="false">
      <c r="A915" s="24" t="s">
        <v>311</v>
      </c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</row>
    <row r="916" customFormat="false" ht="15" hidden="false" customHeight="false" outlineLevel="0" collapsed="false">
      <c r="A916" s="26" t="s">
        <v>193</v>
      </c>
      <c r="B916" s="36" t="s">
        <v>55</v>
      </c>
      <c r="C916" s="37" t="n">
        <f aca="false">0</f>
        <v>0</v>
      </c>
      <c r="D916" s="37" t="n">
        <f aca="false">D914</f>
        <v>-21.951423</v>
      </c>
      <c r="E916" s="37" t="n">
        <f aca="false">E914</f>
        <v>5.9516885</v>
      </c>
      <c r="F916" s="37" t="n">
        <f aca="false">F914</f>
        <v>30.8437929724775</v>
      </c>
      <c r="G916" s="37" t="n">
        <f aca="false">G914</f>
        <v>46.218621951367</v>
      </c>
      <c r="H916" s="37" t="n">
        <f aca="false">H914</f>
        <v>55.8654295917606</v>
      </c>
      <c r="I916" s="37" t="n">
        <f aca="false">I914</f>
        <v>73.6459044204237</v>
      </c>
      <c r="J916" s="37" t="n">
        <f aca="false">J914</f>
        <v>83.6634449205955</v>
      </c>
      <c r="K916" s="37" t="n">
        <f aca="false">K914</f>
        <v>93.789619430888</v>
      </c>
      <c r="L916" s="37" t="n">
        <f aca="false">L914</f>
        <v>104.025160171045</v>
      </c>
      <c r="M916" s="37" t="n">
        <f aca="false">M914</f>
        <v>114.370622613232</v>
      </c>
    </row>
    <row r="917" customFormat="false" ht="15" hidden="false" customHeight="false" outlineLevel="0" collapsed="false">
      <c r="A917" s="26" t="s">
        <v>196</v>
      </c>
      <c r="B917" s="36" t="s">
        <v>55</v>
      </c>
      <c r="C917" s="37" t="n">
        <f aca="false">0</f>
        <v>0</v>
      </c>
      <c r="D917" s="37" t="n">
        <f aca="false">D887</f>
        <v>46.728</v>
      </c>
      <c r="E917" s="37" t="n">
        <f aca="false">E887</f>
        <v>46.728</v>
      </c>
      <c r="F917" s="37" t="n">
        <f aca="false">F887</f>
        <v>46.728</v>
      </c>
      <c r="G917" s="37" t="n">
        <f aca="false">G887</f>
        <v>46.728</v>
      </c>
      <c r="H917" s="37" t="n">
        <f aca="false">H887</f>
        <v>46.728</v>
      </c>
      <c r="I917" s="37" t="n">
        <f aca="false">I887</f>
        <v>41.888</v>
      </c>
      <c r="J917" s="37" t="n">
        <f aca="false">J887</f>
        <v>41.888</v>
      </c>
      <c r="K917" s="37" t="n">
        <f aca="false">K887</f>
        <v>41.888</v>
      </c>
      <c r="L917" s="37" t="n">
        <f aca="false">L887</f>
        <v>41.888</v>
      </c>
      <c r="M917" s="37" t="n">
        <f aca="false">M887</f>
        <v>41.888</v>
      </c>
    </row>
    <row r="918" customFormat="false" ht="15" hidden="false" customHeight="false" outlineLevel="0" collapsed="false">
      <c r="A918" s="26" t="s">
        <v>197</v>
      </c>
      <c r="B918" s="36" t="s">
        <v>55</v>
      </c>
      <c r="C918" s="37" t="n">
        <f aca="false">0</f>
        <v>0</v>
      </c>
      <c r="D918" s="37" t="n">
        <f aca="false">-(D891-C891)</f>
        <v>-20.1390410958904</v>
      </c>
      <c r="E918" s="37" t="n">
        <f aca="false">-(E891-D891)</f>
        <v>-4.61367123287672</v>
      </c>
      <c r="F918" s="37" t="n">
        <f aca="false">-(F891-E891)</f>
        <v>-4.95054246575342</v>
      </c>
      <c r="G918" s="37" t="n">
        <f aca="false">-(G891-F891)</f>
        <v>-3.24755585753425</v>
      </c>
      <c r="H918" s="37" t="n">
        <f aca="false">-(H891-G891)</f>
        <v>-1.3180324260822</v>
      </c>
      <c r="I918" s="37" t="n">
        <f aca="false">-(I891-H891)</f>
        <v>-2.26174364315703</v>
      </c>
      <c r="J918" s="37" t="n">
        <f aca="false">-(J891-I891)</f>
        <v>-1.46122346885177</v>
      </c>
      <c r="K918" s="37" t="n">
        <f aca="false">-(K891-J891)</f>
        <v>-1.51967240760584</v>
      </c>
      <c r="L918" s="37" t="n">
        <f aca="false">-(L891-K891)</f>
        <v>-1.58045930391006</v>
      </c>
      <c r="M918" s="37" t="n">
        <f aca="false">-(M891-L891)</f>
        <v>-1.64367767606647</v>
      </c>
    </row>
    <row r="919" customFormat="false" ht="15" hidden="false" customHeight="false" outlineLevel="0" collapsed="false">
      <c r="A919" s="26" t="s">
        <v>198</v>
      </c>
      <c r="B919" s="36" t="s">
        <v>55</v>
      </c>
      <c r="C919" s="37" t="n">
        <f aca="false">0</f>
        <v>0</v>
      </c>
      <c r="D919" s="37" t="n">
        <f aca="false">D892-C892</f>
        <v>7.00197435616439</v>
      </c>
      <c r="E919" s="37" t="n">
        <f aca="false">E892-D892</f>
        <v>0.782374397260274</v>
      </c>
      <c r="F919" s="37" t="n">
        <f aca="false">F892-E892</f>
        <v>0.844053047260275</v>
      </c>
      <c r="G919" s="37" t="n">
        <f aca="false">G892-F892</f>
        <v>0.660767529550684</v>
      </c>
      <c r="H919" s="37" t="n">
        <f aca="false">H892-G892</f>
        <v>0.445905307236822</v>
      </c>
      <c r="I919" s="37" t="n">
        <f aca="false">I892-H892</f>
        <v>0.579468542239283</v>
      </c>
      <c r="J919" s="37" t="n">
        <f aca="false">J892-I892</f>
        <v>0.500645443878016</v>
      </c>
      <c r="K919" s="37" t="n">
        <f aca="false">K892-J892</f>
        <v>0.527679259856626</v>
      </c>
      <c r="L919" s="37" t="n">
        <f aca="false">L892-K892</f>
        <v>0.556191288644508</v>
      </c>
      <c r="M919" s="37" t="n">
        <f aca="false">M892-L892</f>
        <v>0.586263289378083</v>
      </c>
    </row>
    <row r="920" customFormat="false" ht="15" hidden="false" customHeight="false" outlineLevel="0" collapsed="false">
      <c r="A920" s="9" t="s">
        <v>199</v>
      </c>
      <c r="B920" s="36" t="s">
        <v>55</v>
      </c>
      <c r="C920" s="38" t="n">
        <f aca="false">SUM(C916:C919)</f>
        <v>0</v>
      </c>
      <c r="D920" s="38" t="n">
        <f aca="false">SUM(D916:D919)</f>
        <v>11.639510260274</v>
      </c>
      <c r="E920" s="38" t="n">
        <f aca="false">SUM(E916:E919)</f>
        <v>48.8483916643836</v>
      </c>
      <c r="F920" s="38" t="n">
        <f aca="false">SUM(F916:F919)</f>
        <v>73.4653035539844</v>
      </c>
      <c r="G920" s="38" t="n">
        <f aca="false">SUM(G916:G919)</f>
        <v>90.3598336233835</v>
      </c>
      <c r="H920" s="38" t="n">
        <f aca="false">SUM(H916:H919)</f>
        <v>101.721302472915</v>
      </c>
      <c r="I920" s="38" t="n">
        <f aca="false">SUM(I916:I919)</f>
        <v>113.851629319506</v>
      </c>
      <c r="J920" s="38" t="n">
        <f aca="false">SUM(J916:J919)</f>
        <v>124.590866895622</v>
      </c>
      <c r="K920" s="38" t="n">
        <f aca="false">SUM(K916:K919)</f>
        <v>134.685626283139</v>
      </c>
      <c r="L920" s="38" t="n">
        <f aca="false">SUM(L916:L919)</f>
        <v>144.888892155779</v>
      </c>
      <c r="M920" s="38" t="n">
        <f aca="false">SUM(M916:M919)</f>
        <v>155.201208226543</v>
      </c>
    </row>
    <row r="921" customFormat="false" ht="15" hidden="false" customHeight="false" outlineLevel="0" collapsed="false">
      <c r="A921" s="26" t="s">
        <v>200</v>
      </c>
      <c r="B921" s="36" t="s">
        <v>55</v>
      </c>
      <c r="C921" s="37" t="n">
        <f aca="false">-C848</f>
        <v>-829.345</v>
      </c>
      <c r="D921" s="37" t="n">
        <f aca="false">0</f>
        <v>0</v>
      </c>
      <c r="E921" s="37" t="n">
        <f aca="false">0</f>
        <v>0</v>
      </c>
      <c r="F921" s="37" t="n">
        <f aca="false">0</f>
        <v>0</v>
      </c>
      <c r="G921" s="37" t="n">
        <f aca="false">0</f>
        <v>0</v>
      </c>
      <c r="H921" s="37" t="n">
        <f aca="false">0</f>
        <v>0</v>
      </c>
      <c r="I921" s="37" t="n">
        <f aca="false">0</f>
        <v>0</v>
      </c>
      <c r="J921" s="37" t="n">
        <f aca="false">0</f>
        <v>0</v>
      </c>
      <c r="K921" s="37" t="n">
        <f aca="false">0</f>
        <v>0</v>
      </c>
      <c r="L921" s="37" t="n">
        <f aca="false">0</f>
        <v>0</v>
      </c>
      <c r="M921" s="37" t="n">
        <f aca="false">0</f>
        <v>0</v>
      </c>
    </row>
    <row r="922" customFormat="false" ht="15" hidden="false" customHeight="false" outlineLevel="0" collapsed="false">
      <c r="A922" s="9" t="s">
        <v>201</v>
      </c>
      <c r="B922" s="36" t="s">
        <v>55</v>
      </c>
      <c r="C922" s="43" t="n">
        <f aca="false">C921</f>
        <v>-829.345</v>
      </c>
      <c r="D922" s="43" t="n">
        <f aca="false">D921</f>
        <v>0</v>
      </c>
      <c r="E922" s="43" t="n">
        <f aca="false">E921</f>
        <v>0</v>
      </c>
      <c r="F922" s="43" t="n">
        <f aca="false">F921</f>
        <v>0</v>
      </c>
      <c r="G922" s="43" t="n">
        <f aca="false">G921</f>
        <v>0</v>
      </c>
      <c r="H922" s="43" t="n">
        <f aca="false">H921</f>
        <v>0</v>
      </c>
      <c r="I922" s="43" t="n">
        <f aca="false">I921</f>
        <v>0</v>
      </c>
      <c r="J922" s="43" t="n">
        <f aca="false">J921</f>
        <v>0</v>
      </c>
      <c r="K922" s="43" t="n">
        <f aca="false">K921</f>
        <v>0</v>
      </c>
      <c r="L922" s="43" t="n">
        <f aca="false">L921</f>
        <v>0</v>
      </c>
      <c r="M922" s="43" t="n">
        <f aca="false">M921</f>
        <v>0</v>
      </c>
    </row>
    <row r="923" customFormat="false" ht="15" hidden="false" customHeight="false" outlineLevel="0" collapsed="false">
      <c r="A923" s="26" t="s">
        <v>202</v>
      </c>
      <c r="B923" s="36" t="s">
        <v>55</v>
      </c>
      <c r="C923" s="37" t="n">
        <f aca="false">C854</f>
        <v>338.938</v>
      </c>
      <c r="D923" s="37" t="n">
        <f aca="false">0</f>
        <v>0</v>
      </c>
      <c r="E923" s="37" t="n">
        <f aca="false">0</f>
        <v>0</v>
      </c>
      <c r="F923" s="37" t="n">
        <f aca="false">0</f>
        <v>0</v>
      </c>
      <c r="G923" s="37" t="n">
        <f aca="false">0</f>
        <v>0</v>
      </c>
      <c r="H923" s="37" t="n">
        <f aca="false">0</f>
        <v>0</v>
      </c>
      <c r="I923" s="37" t="n">
        <f aca="false">0</f>
        <v>0</v>
      </c>
      <c r="J923" s="37" t="n">
        <f aca="false">0</f>
        <v>0</v>
      </c>
      <c r="K923" s="37" t="n">
        <f aca="false">0</f>
        <v>0</v>
      </c>
      <c r="L923" s="37" t="n">
        <f aca="false">0</f>
        <v>0</v>
      </c>
      <c r="M923" s="37" t="n">
        <f aca="false">0</f>
        <v>0</v>
      </c>
    </row>
    <row r="924" customFormat="false" ht="15" hidden="false" customHeight="false" outlineLevel="0" collapsed="false">
      <c r="A924" s="26" t="s">
        <v>203</v>
      </c>
      <c r="B924" s="36" t="s">
        <v>55</v>
      </c>
      <c r="C924" s="37" t="n">
        <f aca="false">C896</f>
        <v>508.407</v>
      </c>
      <c r="D924" s="37" t="n">
        <f aca="false">D896</f>
        <v>0</v>
      </c>
      <c r="E924" s="37" t="n">
        <f aca="false">E896</f>
        <v>0</v>
      </c>
      <c r="F924" s="37" t="n">
        <f aca="false">F896</f>
        <v>0</v>
      </c>
      <c r="G924" s="37" t="n">
        <f aca="false">G896</f>
        <v>0</v>
      </c>
      <c r="H924" s="37" t="n">
        <f aca="false">H896</f>
        <v>0</v>
      </c>
      <c r="I924" s="37" t="n">
        <f aca="false">I896</f>
        <v>0</v>
      </c>
      <c r="J924" s="37" t="n">
        <f aca="false">J896</f>
        <v>0</v>
      </c>
      <c r="K924" s="37" t="n">
        <f aca="false">K896</f>
        <v>0</v>
      </c>
      <c r="L924" s="37" t="n">
        <f aca="false">L896</f>
        <v>0</v>
      </c>
      <c r="M924" s="37" t="n">
        <f aca="false">M896</f>
        <v>0</v>
      </c>
    </row>
    <row r="925" customFormat="false" ht="15" hidden="false" customHeight="false" outlineLevel="0" collapsed="false">
      <c r="A925" s="26" t="s">
        <v>204</v>
      </c>
      <c r="B925" s="36" t="s">
        <v>55</v>
      </c>
      <c r="C925" s="37" t="n">
        <f aca="false">-C899</f>
        <v>-0</v>
      </c>
      <c r="D925" s="37" t="n">
        <f aca="false">-D899</f>
        <v>-0</v>
      </c>
      <c r="E925" s="37" t="n">
        <f aca="false">-E899</f>
        <v>-0</v>
      </c>
      <c r="F925" s="37" t="n">
        <f aca="false">-F899</f>
        <v>-72.6295714285714</v>
      </c>
      <c r="G925" s="37" t="n">
        <f aca="false">-G899</f>
        <v>-72.6295714285714</v>
      </c>
      <c r="H925" s="37" t="n">
        <f aca="false">-H899</f>
        <v>-72.6295714285714</v>
      </c>
      <c r="I925" s="37" t="n">
        <f aca="false">-I899</f>
        <v>-72.6295714285714</v>
      </c>
      <c r="J925" s="37" t="n">
        <f aca="false">-J899</f>
        <v>-72.6295714285714</v>
      </c>
      <c r="K925" s="37" t="n">
        <f aca="false">-K899</f>
        <v>-72.6295714285714</v>
      </c>
      <c r="L925" s="37" t="n">
        <f aca="false">-L899</f>
        <v>-72.6295714285713</v>
      </c>
      <c r="M925" s="37" t="n">
        <f aca="false">-M899</f>
        <v>-0</v>
      </c>
    </row>
    <row r="926" customFormat="false" ht="15" hidden="false" customHeight="false" outlineLevel="0" collapsed="false">
      <c r="A926" s="9" t="s">
        <v>205</v>
      </c>
      <c r="B926" s="36" t="s">
        <v>55</v>
      </c>
      <c r="C926" s="38" t="n">
        <f aca="false">SUM(C923:C925)</f>
        <v>847.345</v>
      </c>
      <c r="D926" s="38" t="n">
        <f aca="false">SUM(D923:D925)</f>
        <v>0</v>
      </c>
      <c r="E926" s="38" t="n">
        <f aca="false">SUM(E923:E925)</f>
        <v>0</v>
      </c>
      <c r="F926" s="38" t="n">
        <f aca="false">SUM(F923:F925)</f>
        <v>-72.6295714285714</v>
      </c>
      <c r="G926" s="38" t="n">
        <f aca="false">SUM(G923:G925)</f>
        <v>-72.6295714285714</v>
      </c>
      <c r="H926" s="38" t="n">
        <f aca="false">SUM(H923:H925)</f>
        <v>-72.6295714285714</v>
      </c>
      <c r="I926" s="38" t="n">
        <f aca="false">SUM(I923:I925)</f>
        <v>-72.6295714285714</v>
      </c>
      <c r="J926" s="38" t="n">
        <f aca="false">SUM(J923:J925)</f>
        <v>-72.6295714285714</v>
      </c>
      <c r="K926" s="38" t="n">
        <f aca="false">SUM(K923:K925)</f>
        <v>-72.6295714285714</v>
      </c>
      <c r="L926" s="38" t="n">
        <f aca="false">SUM(L923:L925)</f>
        <v>-72.6295714285713</v>
      </c>
      <c r="M926" s="38" t="n">
        <f aca="false">SUM(M923:M925)</f>
        <v>0</v>
      </c>
    </row>
    <row r="927" customFormat="false" ht="15" hidden="false" customHeight="false" outlineLevel="0" collapsed="false">
      <c r="A927" s="9" t="s">
        <v>206</v>
      </c>
      <c r="B927" s="36" t="s">
        <v>55</v>
      </c>
      <c r="C927" s="43" t="n">
        <f aca="false">C920+C922+C926</f>
        <v>18</v>
      </c>
      <c r="D927" s="43" t="n">
        <f aca="false">D920+D922+D926</f>
        <v>11.639510260274</v>
      </c>
      <c r="E927" s="43" t="n">
        <f aca="false">E920+E922+E926</f>
        <v>48.8483916643836</v>
      </c>
      <c r="F927" s="43" t="n">
        <f aca="false">F920+F922+F926</f>
        <v>0.835732125412918</v>
      </c>
      <c r="G927" s="43" t="n">
        <f aca="false">G920+G922+G926</f>
        <v>17.730262194812</v>
      </c>
      <c r="H927" s="43" t="n">
        <f aca="false">H920+H922+H926</f>
        <v>29.0917310443438</v>
      </c>
      <c r="I927" s="43" t="n">
        <f aca="false">I920+I922+I926</f>
        <v>41.2220578909345</v>
      </c>
      <c r="J927" s="43" t="n">
        <f aca="false">J920+J922+J926</f>
        <v>51.9612954670503</v>
      </c>
      <c r="K927" s="43" t="n">
        <f aca="false">K920+K922+K926</f>
        <v>62.0560548545674</v>
      </c>
      <c r="L927" s="43" t="n">
        <f aca="false">L920+L922+L926</f>
        <v>72.2593207272079</v>
      </c>
      <c r="M927" s="43" t="n">
        <f aca="false">M920+M922+M926</f>
        <v>155.201208226543</v>
      </c>
    </row>
    <row r="928" customFormat="false" ht="15" hidden="false" customHeight="false" outlineLevel="0" collapsed="false">
      <c r="A928" s="26" t="s">
        <v>207</v>
      </c>
      <c r="B928" s="36" t="s">
        <v>55</v>
      </c>
      <c r="C928" s="37" t="n">
        <f aca="false">0</f>
        <v>0</v>
      </c>
      <c r="D928" s="37" t="n">
        <f aca="false">C929</f>
        <v>18</v>
      </c>
      <c r="E928" s="37" t="n">
        <f aca="false">D929</f>
        <v>29.639510260274</v>
      </c>
      <c r="F928" s="37" t="n">
        <f aca="false">E929</f>
        <v>78.4879019246575</v>
      </c>
      <c r="G928" s="37" t="n">
        <f aca="false">F929</f>
        <v>79.3236340500704</v>
      </c>
      <c r="H928" s="37" t="n">
        <f aca="false">G929</f>
        <v>97.0538962448825</v>
      </c>
      <c r="I928" s="37" t="n">
        <f aca="false">H929</f>
        <v>126.145627289226</v>
      </c>
      <c r="J928" s="37" t="n">
        <f aca="false">I929</f>
        <v>167.367685180161</v>
      </c>
      <c r="K928" s="37" t="n">
        <f aca="false">J929</f>
        <v>219.328980647211</v>
      </c>
      <c r="L928" s="37" t="n">
        <f aca="false">K929</f>
        <v>281.385035501779</v>
      </c>
      <c r="M928" s="37" t="n">
        <f aca="false">L929</f>
        <v>353.644356228986</v>
      </c>
    </row>
    <row r="929" customFormat="false" ht="15" hidden="false" customHeight="false" outlineLevel="0" collapsed="false">
      <c r="A929" s="9" t="s">
        <v>28</v>
      </c>
      <c r="B929" s="36" t="s">
        <v>55</v>
      </c>
      <c r="C929" s="38" t="n">
        <f aca="false">C928+C927</f>
        <v>18</v>
      </c>
      <c r="D929" s="38" t="n">
        <f aca="false">D928+D927</f>
        <v>29.639510260274</v>
      </c>
      <c r="E929" s="38" t="n">
        <f aca="false">E928+E927</f>
        <v>78.4879019246575</v>
      </c>
      <c r="F929" s="38" t="n">
        <f aca="false">F928+F927</f>
        <v>79.3236340500704</v>
      </c>
      <c r="G929" s="38" t="n">
        <f aca="false">G928+G927</f>
        <v>97.0538962448825</v>
      </c>
      <c r="H929" s="38" t="n">
        <f aca="false">H928+H927</f>
        <v>126.145627289226</v>
      </c>
      <c r="I929" s="38" t="n">
        <f aca="false">I928+I927</f>
        <v>167.367685180161</v>
      </c>
      <c r="J929" s="38" t="n">
        <f aca="false">J928+J927</f>
        <v>219.328980647211</v>
      </c>
      <c r="K929" s="38" t="n">
        <f aca="false">K928+K927</f>
        <v>281.385035501779</v>
      </c>
      <c r="L929" s="38" t="n">
        <f aca="false">L928+L927</f>
        <v>353.644356228986</v>
      </c>
      <c r="M929" s="38" t="n">
        <f aca="false">M928+M927</f>
        <v>508.84556445553</v>
      </c>
    </row>
    <row r="930" customFormat="false" ht="15" hidden="false" customHeight="false" outlineLevel="0" collapsed="false">
      <c r="A930" s="24" t="s">
        <v>312</v>
      </c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</row>
    <row r="931" customFormat="false" ht="15" hidden="false" customHeight="false" outlineLevel="0" collapsed="false">
      <c r="A931" s="26" t="s">
        <v>210</v>
      </c>
      <c r="B931" s="36" t="s">
        <v>55</v>
      </c>
      <c r="C931" s="37" t="n">
        <f aca="false">C888</f>
        <v>829.345</v>
      </c>
      <c r="D931" s="37" t="n">
        <f aca="false">D888</f>
        <v>782.617</v>
      </c>
      <c r="E931" s="37" t="n">
        <f aca="false">E888</f>
        <v>735.889</v>
      </c>
      <c r="F931" s="37" t="n">
        <f aca="false">F888</f>
        <v>689.161</v>
      </c>
      <c r="G931" s="37" t="n">
        <f aca="false">G888</f>
        <v>642.433</v>
      </c>
      <c r="H931" s="37" t="n">
        <f aca="false">H888</f>
        <v>595.705</v>
      </c>
      <c r="I931" s="37" t="n">
        <f aca="false">I888</f>
        <v>553.817</v>
      </c>
      <c r="J931" s="37" t="n">
        <f aca="false">J888</f>
        <v>511.929</v>
      </c>
      <c r="K931" s="37" t="n">
        <f aca="false">K888</f>
        <v>470.041</v>
      </c>
      <c r="L931" s="37" t="n">
        <f aca="false">L888</f>
        <v>428.153</v>
      </c>
      <c r="M931" s="37" t="n">
        <f aca="false">M888</f>
        <v>386.265</v>
      </c>
    </row>
    <row r="932" customFormat="false" ht="15" hidden="false" customHeight="false" outlineLevel="0" collapsed="false">
      <c r="A932" s="26" t="s">
        <v>171</v>
      </c>
      <c r="B932" s="36" t="s">
        <v>55</v>
      </c>
      <c r="C932" s="37" t="n">
        <f aca="false">C891</f>
        <v>0</v>
      </c>
      <c r="D932" s="37" t="n">
        <f aca="false">D891</f>
        <v>20.1390410958904</v>
      </c>
      <c r="E932" s="37" t="n">
        <f aca="false">E891</f>
        <v>24.7527123287671</v>
      </c>
      <c r="F932" s="37" t="n">
        <f aca="false">F891</f>
        <v>29.7032547945205</v>
      </c>
      <c r="G932" s="37" t="n">
        <f aca="false">G891</f>
        <v>32.9508106520548</v>
      </c>
      <c r="H932" s="37" t="n">
        <f aca="false">H891</f>
        <v>34.268843078137</v>
      </c>
      <c r="I932" s="37" t="n">
        <f aca="false">I891</f>
        <v>36.530586721294</v>
      </c>
      <c r="J932" s="37" t="n">
        <f aca="false">J891</f>
        <v>37.9918101901458</v>
      </c>
      <c r="K932" s="37" t="n">
        <f aca="false">K891</f>
        <v>39.5114825977516</v>
      </c>
      <c r="L932" s="37" t="n">
        <f aca="false">L891</f>
        <v>41.0919419016617</v>
      </c>
      <c r="M932" s="37" t="n">
        <f aca="false">M891</f>
        <v>42.7356195777282</v>
      </c>
    </row>
    <row r="933" customFormat="false" ht="15" hidden="false" customHeight="false" outlineLevel="0" collapsed="false">
      <c r="A933" s="26" t="s">
        <v>211</v>
      </c>
      <c r="B933" s="36" t="s">
        <v>55</v>
      </c>
      <c r="C933" s="37" t="n">
        <f aca="false">C929</f>
        <v>18</v>
      </c>
      <c r="D933" s="37" t="n">
        <f aca="false">D929</f>
        <v>29.639510260274</v>
      </c>
      <c r="E933" s="37" t="n">
        <f aca="false">E929</f>
        <v>78.4879019246575</v>
      </c>
      <c r="F933" s="37" t="n">
        <f aca="false">F929</f>
        <v>79.3236340500704</v>
      </c>
      <c r="G933" s="37" t="n">
        <f aca="false">G929</f>
        <v>97.0538962448825</v>
      </c>
      <c r="H933" s="37" t="n">
        <f aca="false">H929</f>
        <v>126.145627289226</v>
      </c>
      <c r="I933" s="37" t="n">
        <f aca="false">I929</f>
        <v>167.367685180161</v>
      </c>
      <c r="J933" s="37" t="n">
        <f aca="false">J929</f>
        <v>219.328980647211</v>
      </c>
      <c r="K933" s="37" t="n">
        <f aca="false">K929</f>
        <v>281.385035501779</v>
      </c>
      <c r="L933" s="37" t="n">
        <f aca="false">L929</f>
        <v>353.644356228986</v>
      </c>
      <c r="M933" s="37" t="n">
        <f aca="false">M929</f>
        <v>508.84556445553</v>
      </c>
    </row>
    <row r="934" customFormat="false" ht="15" hidden="false" customHeight="false" outlineLevel="0" collapsed="false">
      <c r="A934" s="9" t="s">
        <v>212</v>
      </c>
      <c r="B934" s="36" t="s">
        <v>55</v>
      </c>
      <c r="C934" s="38" t="n">
        <f aca="false">SUM(C931:C933)</f>
        <v>847.345</v>
      </c>
      <c r="D934" s="38" t="n">
        <f aca="false">SUM(D931:D933)</f>
        <v>832.395551356165</v>
      </c>
      <c r="E934" s="38" t="n">
        <f aca="false">SUM(E931:E933)</f>
        <v>839.129614253425</v>
      </c>
      <c r="F934" s="38" t="n">
        <f aca="false">SUM(F931:F933)</f>
        <v>798.187888844591</v>
      </c>
      <c r="G934" s="38" t="n">
        <f aca="false">SUM(G931:G933)</f>
        <v>772.437706896937</v>
      </c>
      <c r="H934" s="38" t="n">
        <f aca="false">SUM(H931:H933)</f>
        <v>756.119470367363</v>
      </c>
      <c r="I934" s="38" t="n">
        <f aca="false">SUM(I931:I933)</f>
        <v>757.715271901455</v>
      </c>
      <c r="J934" s="38" t="n">
        <f aca="false">SUM(J931:J933)</f>
        <v>769.249790837357</v>
      </c>
      <c r="K934" s="38" t="n">
        <f aca="false">SUM(K931:K933)</f>
        <v>790.93751809953</v>
      </c>
      <c r="L934" s="38" t="n">
        <f aca="false">SUM(L931:L933)</f>
        <v>822.889298130648</v>
      </c>
      <c r="M934" s="38" t="n">
        <f aca="false">SUM(M931:M933)</f>
        <v>937.846184033258</v>
      </c>
    </row>
    <row r="935" customFormat="false" ht="15" hidden="false" customHeight="false" outlineLevel="0" collapsed="false">
      <c r="A935" s="26" t="s">
        <v>213</v>
      </c>
      <c r="B935" s="36" t="s">
        <v>55</v>
      </c>
      <c r="C935" s="37" t="n">
        <f aca="false">C923</f>
        <v>338.938</v>
      </c>
      <c r="D935" s="37" t="n">
        <f aca="false">C935+D923</f>
        <v>338.938</v>
      </c>
      <c r="E935" s="37" t="n">
        <f aca="false">D935+E923</f>
        <v>338.938</v>
      </c>
      <c r="F935" s="37" t="n">
        <f aca="false">E935+F923</f>
        <v>338.938</v>
      </c>
      <c r="G935" s="37" t="n">
        <f aca="false">F935+G923</f>
        <v>338.938</v>
      </c>
      <c r="H935" s="37" t="n">
        <f aca="false">G935+H923</f>
        <v>338.938</v>
      </c>
      <c r="I935" s="37" t="n">
        <f aca="false">H935+I923</f>
        <v>338.938</v>
      </c>
      <c r="J935" s="37" t="n">
        <f aca="false">I935+J923</f>
        <v>338.938</v>
      </c>
      <c r="K935" s="37" t="n">
        <f aca="false">J935+K923</f>
        <v>338.938</v>
      </c>
      <c r="L935" s="37" t="n">
        <f aca="false">K935+L923</f>
        <v>338.938</v>
      </c>
      <c r="M935" s="37" t="n">
        <f aca="false">L935+M923</f>
        <v>338.938</v>
      </c>
    </row>
    <row r="936" customFormat="false" ht="15" hidden="false" customHeight="false" outlineLevel="0" collapsed="false">
      <c r="A936" s="26" t="s">
        <v>214</v>
      </c>
      <c r="B936" s="36" t="s">
        <v>55</v>
      </c>
      <c r="C936" s="37" t="n">
        <f aca="false">C916</f>
        <v>0</v>
      </c>
      <c r="D936" s="37" t="n">
        <f aca="false">C936+D916</f>
        <v>-21.951423</v>
      </c>
      <c r="E936" s="37" t="n">
        <f aca="false">D936+E916</f>
        <v>-15.9997345</v>
      </c>
      <c r="F936" s="37" t="n">
        <f aca="false">E936+F916</f>
        <v>14.8440584724775</v>
      </c>
      <c r="G936" s="37" t="n">
        <f aca="false">F936+G916</f>
        <v>61.0626804238445</v>
      </c>
      <c r="H936" s="37" t="n">
        <f aca="false">G936+H916</f>
        <v>116.928110015605</v>
      </c>
      <c r="I936" s="37" t="n">
        <f aca="false">H936+I916</f>
        <v>190.574014436029</v>
      </c>
      <c r="J936" s="37" t="n">
        <f aca="false">I936+J916</f>
        <v>274.237459356624</v>
      </c>
      <c r="K936" s="37" t="n">
        <f aca="false">J936+K916</f>
        <v>368.027078787512</v>
      </c>
      <c r="L936" s="37" t="n">
        <f aca="false">K936+L916</f>
        <v>472.052238958557</v>
      </c>
      <c r="M936" s="37" t="n">
        <f aca="false">L936+M916</f>
        <v>586.422861571789</v>
      </c>
    </row>
    <row r="937" customFormat="false" ht="15" hidden="false" customHeight="false" outlineLevel="0" collapsed="false">
      <c r="A937" s="26" t="s">
        <v>17</v>
      </c>
      <c r="B937" s="36" t="s">
        <v>55</v>
      </c>
      <c r="C937" s="37" t="n">
        <f aca="false">C900</f>
        <v>508.407</v>
      </c>
      <c r="D937" s="37" t="n">
        <f aca="false">D900</f>
        <v>508.407</v>
      </c>
      <c r="E937" s="37" t="n">
        <f aca="false">E900</f>
        <v>508.407</v>
      </c>
      <c r="F937" s="37" t="n">
        <f aca="false">F900</f>
        <v>435.777428571429</v>
      </c>
      <c r="G937" s="37" t="n">
        <f aca="false">G900</f>
        <v>363.147857142857</v>
      </c>
      <c r="H937" s="37" t="n">
        <f aca="false">H900</f>
        <v>290.518285714286</v>
      </c>
      <c r="I937" s="37" t="n">
        <f aca="false">I900</f>
        <v>217.888714285714</v>
      </c>
      <c r="J937" s="37" t="n">
        <f aca="false">J900</f>
        <v>145.259142857143</v>
      </c>
      <c r="K937" s="37" t="n">
        <f aca="false">K900</f>
        <v>72.6295714285713</v>
      </c>
      <c r="L937" s="37" t="n">
        <f aca="false">L900</f>
        <v>0</v>
      </c>
      <c r="M937" s="37" t="n">
        <f aca="false">M900</f>
        <v>0</v>
      </c>
    </row>
    <row r="938" customFormat="false" ht="15" hidden="false" customHeight="false" outlineLevel="0" collapsed="false">
      <c r="A938" s="26" t="s">
        <v>172</v>
      </c>
      <c r="B938" s="36" t="s">
        <v>55</v>
      </c>
      <c r="C938" s="37" t="n">
        <f aca="false">C892</f>
        <v>0</v>
      </c>
      <c r="D938" s="37" t="n">
        <f aca="false">D892</f>
        <v>7.00197435616439</v>
      </c>
      <c r="E938" s="37" t="n">
        <f aca="false">E892</f>
        <v>7.78434875342466</v>
      </c>
      <c r="F938" s="37" t="n">
        <f aca="false">F892</f>
        <v>8.62840180068493</v>
      </c>
      <c r="G938" s="37" t="n">
        <f aca="false">G892</f>
        <v>9.28916933023562</v>
      </c>
      <c r="H938" s="37" t="n">
        <f aca="false">H892</f>
        <v>9.73507463747244</v>
      </c>
      <c r="I938" s="37" t="n">
        <f aca="false">I892</f>
        <v>10.3145431797117</v>
      </c>
      <c r="J938" s="37" t="n">
        <f aca="false">J892</f>
        <v>10.8151886235897</v>
      </c>
      <c r="K938" s="37" t="n">
        <f aca="false">K892</f>
        <v>11.3428678834464</v>
      </c>
      <c r="L938" s="37" t="n">
        <f aca="false">L892</f>
        <v>11.8990591720909</v>
      </c>
      <c r="M938" s="37" t="n">
        <f aca="false">M892</f>
        <v>12.485322461469</v>
      </c>
    </row>
    <row r="939" customFormat="false" ht="15" hidden="false" customHeight="false" outlineLevel="0" collapsed="false">
      <c r="A939" s="9" t="s">
        <v>215</v>
      </c>
      <c r="B939" s="36" t="s">
        <v>55</v>
      </c>
      <c r="C939" s="38" t="n">
        <f aca="false">SUM(C935:C938)</f>
        <v>847.345</v>
      </c>
      <c r="D939" s="38" t="n">
        <f aca="false">SUM(D935:D938)</f>
        <v>832.395551356165</v>
      </c>
      <c r="E939" s="38" t="n">
        <f aca="false">SUM(E935:E938)</f>
        <v>839.129614253425</v>
      </c>
      <c r="F939" s="38" t="n">
        <f aca="false">SUM(F935:F938)</f>
        <v>798.187888844591</v>
      </c>
      <c r="G939" s="38" t="n">
        <f aca="false">SUM(G935:G938)</f>
        <v>772.437706896937</v>
      </c>
      <c r="H939" s="38" t="n">
        <f aca="false">SUM(H935:H938)</f>
        <v>756.119470367363</v>
      </c>
      <c r="I939" s="38" t="n">
        <f aca="false">SUM(I935:I938)</f>
        <v>757.715271901455</v>
      </c>
      <c r="J939" s="38" t="n">
        <f aca="false">SUM(J935:J938)</f>
        <v>769.249790837357</v>
      </c>
      <c r="K939" s="38" t="n">
        <f aca="false">SUM(K935:K938)</f>
        <v>790.93751809953</v>
      </c>
      <c r="L939" s="38" t="n">
        <f aca="false">SUM(L935:L938)</f>
        <v>822.889298130648</v>
      </c>
      <c r="M939" s="38" t="n">
        <f aca="false">SUM(M935:M938)</f>
        <v>937.846184033258</v>
      </c>
    </row>
    <row r="940" customFormat="false" ht="15" hidden="false" customHeight="false" outlineLevel="0" collapsed="false">
      <c r="A940" s="26" t="s">
        <v>216</v>
      </c>
      <c r="B940" s="36" t="s">
        <v>55</v>
      </c>
      <c r="C940" s="37" t="n">
        <f aca="false">ROUND(C934-C939,6)</f>
        <v>0</v>
      </c>
      <c r="D940" s="37" t="n">
        <f aca="false">ROUND(D934-D939,6)</f>
        <v>0</v>
      </c>
      <c r="E940" s="37" t="n">
        <f aca="false">ROUND(E934-E939,6)</f>
        <v>0</v>
      </c>
      <c r="F940" s="37" t="n">
        <f aca="false">ROUND(F934-F939,6)</f>
        <v>0</v>
      </c>
      <c r="G940" s="37" t="n">
        <f aca="false">ROUND(G934-G939,6)</f>
        <v>0</v>
      </c>
      <c r="H940" s="37" t="n">
        <f aca="false">ROUND(H934-H939,6)</f>
        <v>0</v>
      </c>
      <c r="I940" s="37" t="n">
        <f aca="false">ROUND(I934-I939,6)</f>
        <v>0</v>
      </c>
      <c r="J940" s="37" t="n">
        <f aca="false">ROUND(J934-J939,6)</f>
        <v>0</v>
      </c>
      <c r="K940" s="37" t="n">
        <f aca="false">ROUND(K934-K939,6)</f>
        <v>0</v>
      </c>
      <c r="L940" s="37" t="n">
        <f aca="false">ROUND(L934-L939,6)</f>
        <v>0</v>
      </c>
      <c r="M940" s="37" t="n">
        <f aca="false">ROUND(M934-M939,6)</f>
        <v>0</v>
      </c>
    </row>
    <row r="941" customFormat="false" ht="15" hidden="false" customHeight="false" outlineLevel="0" collapsed="false">
      <c r="A941" s="24" t="s">
        <v>313</v>
      </c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</row>
    <row r="942" customFormat="false" ht="15" hidden="false" customHeight="false" outlineLevel="0" collapsed="false">
      <c r="A942" s="26" t="s">
        <v>219</v>
      </c>
      <c r="B942" s="36" t="s">
        <v>55</v>
      </c>
      <c r="D942" s="37" t="n">
        <f aca="false">D914+D887+D898</f>
        <v>78.159312</v>
      </c>
      <c r="E942" s="37" t="n">
        <f aca="false">E914+E887+E898</f>
        <v>106.0624235</v>
      </c>
      <c r="F942" s="37" t="n">
        <f aca="false">F914+F887+F898</f>
        <v>130.954527972478</v>
      </c>
      <c r="G942" s="37" t="n">
        <f aca="false">G914+G887+G898</f>
        <v>138.703251951367</v>
      </c>
      <c r="H942" s="37" t="n">
        <f aca="false">H914+H887+H898</f>
        <v>140.723954591761</v>
      </c>
      <c r="I942" s="37" t="n">
        <f aca="false">I914+I887+I898</f>
        <v>146.038324420424</v>
      </c>
      <c r="J942" s="37" t="n">
        <f aca="false">J914+J887+J898</f>
        <v>148.429759920595</v>
      </c>
      <c r="K942" s="37" t="n">
        <f aca="false">K914+K887+K898</f>
        <v>150.929829430888</v>
      </c>
      <c r="L942" s="37" t="n">
        <f aca="false">L914+L887+L898</f>
        <v>153.539265171045</v>
      </c>
      <c r="M942" s="37" t="n">
        <f aca="false">M914+M887+M898</f>
        <v>156.258622613232</v>
      </c>
    </row>
    <row r="943" customFormat="false" ht="15" hidden="false" customHeight="false" outlineLevel="0" collapsed="false">
      <c r="A943" s="26" t="s">
        <v>220</v>
      </c>
      <c r="B943" s="36" t="s">
        <v>55</v>
      </c>
      <c r="D943" s="37" t="n">
        <f aca="false">D898+D899</f>
        <v>53.382735</v>
      </c>
      <c r="E943" s="37" t="n">
        <f aca="false">E898+E899</f>
        <v>53.382735</v>
      </c>
      <c r="F943" s="37" t="n">
        <f aca="false">F898+F899</f>
        <v>126.012306428571</v>
      </c>
      <c r="G943" s="37" t="n">
        <f aca="false">G898+G899</f>
        <v>118.386201428571</v>
      </c>
      <c r="H943" s="37" t="n">
        <f aca="false">H898+H899</f>
        <v>110.760096428571</v>
      </c>
      <c r="I943" s="37" t="n">
        <f aca="false">I898+I899</f>
        <v>103.133991428571</v>
      </c>
      <c r="J943" s="37" t="n">
        <f aca="false">J898+J899</f>
        <v>95.5078864285714</v>
      </c>
      <c r="K943" s="37" t="n">
        <f aca="false">K898+K899</f>
        <v>87.8817814285714</v>
      </c>
      <c r="L943" s="37" t="n">
        <f aca="false">L898+L899</f>
        <v>80.2556764285713</v>
      </c>
      <c r="M943" s="37" t="n">
        <f aca="false">M898+M899</f>
        <v>0</v>
      </c>
    </row>
    <row r="944" customFormat="false" ht="15" hidden="false" customHeight="false" outlineLevel="0" collapsed="false">
      <c r="A944" s="26" t="s">
        <v>24</v>
      </c>
      <c r="B944" s="36" t="s">
        <v>104</v>
      </c>
      <c r="D944" s="39" t="n">
        <f aca="false">IF(D943&gt;0,D942/D943,"")</f>
        <v>1.46413090299701</v>
      </c>
      <c r="E944" s="39" t="n">
        <f aca="false">IF(E943&gt;0,E942/E943,"")</f>
        <v>1.98683007717757</v>
      </c>
      <c r="F944" s="39" t="n">
        <f aca="false">IF(F943&gt;0,F942/F943,"")</f>
        <v>1.03922014987249</v>
      </c>
      <c r="G944" s="39" t="n">
        <f aca="false">IF(G943&gt;0,G942/G943,"")</f>
        <v>1.17161671104934</v>
      </c>
      <c r="H944" s="39" t="n">
        <f aca="false">IF(H943&gt;0,H942/H943,"")</f>
        <v>1.27052936147011</v>
      </c>
      <c r="I944" s="39" t="n">
        <f aca="false">IF(I943&gt;0,I942/I943,"")</f>
        <v>1.41600574551182</v>
      </c>
      <c r="J944" s="39" t="n">
        <f aca="false">IF(J943&gt;0,J942/J943,"")</f>
        <v>1.55410998474564</v>
      </c>
      <c r="K944" s="39" t="n">
        <f aca="false">IF(K943&gt;0,K942/K943,"")</f>
        <v>1.717418866316</v>
      </c>
      <c r="L944" s="39" t="n">
        <f aca="false">IF(L943&gt;0,L942/L943,"")</f>
        <v>1.91312654759937</v>
      </c>
      <c r="M944" s="39" t="str">
        <f aca="false">IF(M943&gt;0,M942/M943,"")</f>
        <v/>
      </c>
    </row>
    <row r="945" customFormat="false" ht="15" hidden="false" customHeight="false" outlineLevel="0" collapsed="false">
      <c r="A945" s="9" t="s">
        <v>221</v>
      </c>
      <c r="B945" s="36" t="s">
        <v>104</v>
      </c>
      <c r="C945" s="44" t="n">
        <f aca="false">MIN(D944:M944)</f>
        <v>1.03922014987249</v>
      </c>
    </row>
    <row r="946" customFormat="false" ht="15" hidden="false" customHeight="false" outlineLevel="0" collapsed="false">
      <c r="A946" s="9" t="s">
        <v>222</v>
      </c>
      <c r="B946" s="36" t="s">
        <v>104</v>
      </c>
      <c r="C946" s="44" t="n">
        <f aca="false">AVERAGE(D944:M944)</f>
        <v>1.50366537185993</v>
      </c>
    </row>
    <row r="948" customFormat="false" ht="15" hidden="false" customHeight="false" outlineLevel="0" collapsed="false">
      <c r="A948" s="24" t="s">
        <v>223</v>
      </c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</row>
    <row r="949" customFormat="false" ht="15" hidden="false" customHeight="false" outlineLevel="0" collapsed="false">
      <c r="A949" s="26" t="s">
        <v>224</v>
      </c>
      <c r="B949" s="36" t="s">
        <v>55</v>
      </c>
      <c r="D949" s="37" t="n">
        <f aca="false">MAX(0,D907)*Inputs!$C$44</f>
        <v>7.91126123039999</v>
      </c>
      <c r="E949" s="37" t="n">
        <f aca="false">MAX(0,E907)*Inputs!$C$44</f>
        <v>14.93447439495</v>
      </c>
      <c r="F949" s="37" t="n">
        <f aca="false">MAX(0,F907)*Inputs!$C$44</f>
        <v>22.4565510256725</v>
      </c>
      <c r="G949" s="37" t="n">
        <f aca="false">MAX(0,G907)*Inputs!$C$44</f>
        <v>27.063151368433</v>
      </c>
      <c r="H949" s="37" t="n">
        <f aca="false">MAX(0,H907)*Inputs!$C$44</f>
        <v>28.3884843174915</v>
      </c>
      <c r="I949" s="37" t="n">
        <f aca="false">MAX(0,I907)*Inputs!$C$44</f>
        <v>32.4496772575796</v>
      </c>
      <c r="J949" s="37" t="n">
        <f aca="false">MAX(0,J907)*Inputs!$C$44</f>
        <v>33.8997108090786</v>
      </c>
      <c r="K949" s="37" t="n">
        <f aca="false">MAX(0,K907)*Inputs!$C$44</f>
        <v>35.3862847592778</v>
      </c>
      <c r="L949" s="37" t="n">
        <f aca="false">MAX(0,L907)*Inputs!$C$44</f>
        <v>36.9096453993833</v>
      </c>
      <c r="M949" s="37" t="n">
        <f aca="false">MAX(0,M907)*Inputs!$C$44</f>
        <v>38.4699795693578</v>
      </c>
    </row>
    <row r="950" customFormat="false" ht="15" hidden="false" customHeight="false" outlineLevel="0" collapsed="false">
      <c r="A950" s="26" t="s">
        <v>225</v>
      </c>
      <c r="B950" s="36" t="s">
        <v>55</v>
      </c>
      <c r="D950" s="37" t="n">
        <f aca="false">D893-C893</f>
        <v>13.137066739726</v>
      </c>
      <c r="E950" s="37" t="n">
        <f aca="false">E893-D893</f>
        <v>3.83129683561644</v>
      </c>
      <c r="F950" s="37" t="n">
        <f aca="false">F893-E893</f>
        <v>4.10648941849314</v>
      </c>
      <c r="G950" s="37" t="n">
        <f aca="false">G893-F893</f>
        <v>2.58678832798357</v>
      </c>
      <c r="H950" s="37" t="n">
        <f aca="false">H893-G893</f>
        <v>0.872127118845381</v>
      </c>
      <c r="I950" s="37" t="n">
        <f aca="false">I893-H893</f>
        <v>1.68227510091774</v>
      </c>
      <c r="J950" s="37" t="n">
        <f aca="false">J893-I893</f>
        <v>0.960578024973753</v>
      </c>
      <c r="K950" s="37" t="n">
        <f aca="false">K893-J893</f>
        <v>0.991993147749213</v>
      </c>
      <c r="L950" s="37" t="n">
        <f aca="false">L893-K893</f>
        <v>1.02426801526556</v>
      </c>
      <c r="M950" s="37" t="n">
        <f aca="false">M893-L893</f>
        <v>1.05741438668839</v>
      </c>
    </row>
    <row r="951" customFormat="false" ht="15" hidden="false" customHeight="false" outlineLevel="0" collapsed="false">
      <c r="A951" s="26" t="s">
        <v>226</v>
      </c>
      <c r="B951" s="36" t="s">
        <v>55</v>
      </c>
      <c r="D951" s="37" t="n">
        <f aca="false">0</f>
        <v>0</v>
      </c>
      <c r="E951" s="37" t="n">
        <f aca="false">0</f>
        <v>0</v>
      </c>
      <c r="F951" s="37" t="n">
        <f aca="false">0</f>
        <v>0</v>
      </c>
      <c r="G951" s="37" t="n">
        <f aca="false">0</f>
        <v>0</v>
      </c>
      <c r="H951" s="37" t="n">
        <f aca="false">0</f>
        <v>0</v>
      </c>
      <c r="I951" s="37" t="n">
        <f aca="false">0</f>
        <v>0</v>
      </c>
      <c r="J951" s="37" t="n">
        <f aca="false">0</f>
        <v>0</v>
      </c>
      <c r="K951" s="37" t="n">
        <f aca="false">0</f>
        <v>0</v>
      </c>
      <c r="L951" s="37" t="n">
        <f aca="false">0</f>
        <v>0</v>
      </c>
      <c r="M951" s="37" t="n">
        <f aca="false">M888*Inputs!$C$52+M893</f>
        <v>223.382797116259</v>
      </c>
    </row>
    <row r="952" customFormat="false" ht="15" hidden="false" customHeight="false" outlineLevel="0" collapsed="false">
      <c r="A952" s="9" t="s">
        <v>227</v>
      </c>
      <c r="B952" s="36" t="s">
        <v>55</v>
      </c>
      <c r="C952" s="38" t="n">
        <f aca="false">-C848</f>
        <v>-829.345</v>
      </c>
      <c r="D952" s="38" t="n">
        <f aca="false">D881-D949-D950+D951</f>
        <v>57.110984029874</v>
      </c>
      <c r="E952" s="38" t="n">
        <f aca="false">E881-E949-E950+E951</f>
        <v>87.2966522694336</v>
      </c>
      <c r="F952" s="38" t="n">
        <f aca="false">F881-F949-F950+F951</f>
        <v>109.384470980834</v>
      </c>
      <c r="G952" s="38" t="n">
        <f aca="false">G881-G949-G950+G951</f>
        <v>124.599519852383</v>
      </c>
      <c r="H952" s="38" t="n">
        <f aca="false">H881-H949-H950+H951</f>
        <v>130.254374330415</v>
      </c>
      <c r="I952" s="38" t="n">
        <f aca="false">I881-I949-I950+I951</f>
        <v>136.678086805506</v>
      </c>
      <c r="J952" s="38" t="n">
        <f aca="false">J881-J949-J950+J951</f>
        <v>141.710710010122</v>
      </c>
      <c r="K952" s="38" t="n">
        <f aca="false">K881-K949-K950+K951</f>
        <v>146.098855026139</v>
      </c>
      <c r="L952" s="38" t="n">
        <f aca="false">L881-L949-L950+L951</f>
        <v>150.595506527279</v>
      </c>
      <c r="M952" s="38" t="n">
        <f aca="false">M881-M949-M950+M951</f>
        <v>378.584005342802</v>
      </c>
    </row>
    <row r="953" customFormat="false" ht="15" hidden="false" customHeight="false" outlineLevel="0" collapsed="false">
      <c r="A953" s="26" t="s">
        <v>228</v>
      </c>
      <c r="B953" s="36" t="s">
        <v>55</v>
      </c>
      <c r="C953" s="37" t="n">
        <f aca="false">C952</f>
        <v>-829.345</v>
      </c>
      <c r="D953" s="37" t="n">
        <f aca="false">C953+D952</f>
        <v>-772.234015970126</v>
      </c>
      <c r="E953" s="37" t="n">
        <f aca="false">D953+E952</f>
        <v>-684.937363700693</v>
      </c>
      <c r="F953" s="37" t="n">
        <f aca="false">E953+F952</f>
        <v>-575.552892719858</v>
      </c>
      <c r="G953" s="37" t="n">
        <f aca="false">F953+G952</f>
        <v>-450.953372867475</v>
      </c>
      <c r="H953" s="37" t="n">
        <f aca="false">G953+H952</f>
        <v>-320.69899853706</v>
      </c>
      <c r="I953" s="37" t="n">
        <f aca="false">H953+I952</f>
        <v>-184.020911731554</v>
      </c>
      <c r="J953" s="37" t="n">
        <f aca="false">I953+J952</f>
        <v>-42.3102017214318</v>
      </c>
      <c r="K953" s="37" t="n">
        <f aca="false">J953+K952</f>
        <v>103.788653304707</v>
      </c>
      <c r="L953" s="37" t="n">
        <f aca="false">K953+L952</f>
        <v>254.384159831986</v>
      </c>
      <c r="M953" s="37" t="n">
        <f aca="false">L953+M952</f>
        <v>632.968165174789</v>
      </c>
    </row>
    <row r="954" customFormat="false" ht="15" hidden="false" customHeight="false" outlineLevel="0" collapsed="false">
      <c r="A954" s="26" t="s">
        <v>229</v>
      </c>
      <c r="B954" s="36" t="s">
        <v>55</v>
      </c>
      <c r="C954" s="37" t="n">
        <f aca="false">C952/(1+Inputs!$C$50)^Inputs!C$6</f>
        <v>-829.345</v>
      </c>
      <c r="D954" s="37" t="n">
        <f aca="false">D952/(1+Inputs!$C$50)^Inputs!D$6</f>
        <v>51.4513369638504</v>
      </c>
      <c r="E954" s="37" t="n">
        <f aca="false">E952/(1+Inputs!$C$50)^Inputs!E$6</f>
        <v>70.8519213289778</v>
      </c>
      <c r="F954" s="37" t="n">
        <f aca="false">F952/(1+Inputs!$C$50)^Inputs!F$6</f>
        <v>79.98098242935</v>
      </c>
      <c r="G954" s="37" t="n">
        <f aca="false">G952/(1+Inputs!$C$50)^Inputs!G$6</f>
        <v>82.0775630903599</v>
      </c>
      <c r="H954" s="37" t="n">
        <f aca="false">H952/(1+Inputs!$C$50)^Inputs!H$6</f>
        <v>77.2996314318215</v>
      </c>
      <c r="I954" s="37" t="n">
        <f aca="false">I952/(1+Inputs!$C$50)^Inputs!I$6</f>
        <v>73.0736866047121</v>
      </c>
      <c r="J954" s="37" t="n">
        <f aca="false">J952/(1+Inputs!$C$50)^Inputs!J$6</f>
        <v>68.2561553896827</v>
      </c>
      <c r="K954" s="37" t="n">
        <f aca="false">K952/(1+Inputs!$C$50)^Inputs!K$6</f>
        <v>63.3961642746449</v>
      </c>
      <c r="L954" s="37" t="n">
        <f aca="false">L952/(1+Inputs!$C$50)^Inputs!L$6</f>
        <v>58.8715139690162</v>
      </c>
      <c r="M954" s="37" t="n">
        <f aca="false">M952/(1+Inputs!$C$50)^Inputs!M$6</f>
        <v>133.331410594005</v>
      </c>
    </row>
    <row r="955" customFormat="false" ht="15" hidden="false" customHeight="false" outlineLevel="0" collapsed="false">
      <c r="A955" s="26" t="s">
        <v>230</v>
      </c>
      <c r="B955" s="36" t="s">
        <v>55</v>
      </c>
      <c r="C955" s="37" t="n">
        <f aca="false">C954</f>
        <v>-829.345</v>
      </c>
      <c r="D955" s="37" t="n">
        <f aca="false">C955+D954</f>
        <v>-777.89366303615</v>
      </c>
      <c r="E955" s="37" t="n">
        <f aca="false">D955+E954</f>
        <v>-707.041741707172</v>
      </c>
      <c r="F955" s="37" t="n">
        <f aca="false">E955+F954</f>
        <v>-627.060759277822</v>
      </c>
      <c r="G955" s="37" t="n">
        <f aca="false">F955+G954</f>
        <v>-544.983196187462</v>
      </c>
      <c r="H955" s="37" t="n">
        <f aca="false">G955+H954</f>
        <v>-467.683564755641</v>
      </c>
      <c r="I955" s="37" t="n">
        <f aca="false">H955+I954</f>
        <v>-394.609878150928</v>
      </c>
      <c r="J955" s="37" t="n">
        <f aca="false">I955+J954</f>
        <v>-326.353722761246</v>
      </c>
      <c r="K955" s="37" t="n">
        <f aca="false">J955+K954</f>
        <v>-262.957558486601</v>
      </c>
      <c r="L955" s="37" t="n">
        <f aca="false">K955+L954</f>
        <v>-204.086044517585</v>
      </c>
      <c r="M955" s="37" t="n">
        <f aca="false">L955+M954</f>
        <v>-70.7546339235799</v>
      </c>
    </row>
    <row r="956" customFormat="false" ht="15" hidden="false" customHeight="false" outlineLevel="0" collapsed="false">
      <c r="A956" s="26" t="s">
        <v>231</v>
      </c>
      <c r="B956" s="36" t="s">
        <v>69</v>
      </c>
      <c r="D956" s="45" t="str">
        <f aca="false">IF(AND(C953&lt;0,D953&gt;=0),Inputs!D$6-1+(-C953)/D952,"")</f>
        <v/>
      </c>
      <c r="E956" s="45" t="str">
        <f aca="false">IF(AND(D953&lt;0,E953&gt;=0),Inputs!E$6-1+(-D953)/E952,"")</f>
        <v/>
      </c>
      <c r="F956" s="45" t="str">
        <f aca="false">IF(AND(E953&lt;0,F953&gt;=0),Inputs!F$6-1+(-E953)/F952,"")</f>
        <v/>
      </c>
      <c r="G956" s="45" t="str">
        <f aca="false">IF(AND(F953&lt;0,G953&gt;=0),Inputs!G$6-1+(-F953)/G952,"")</f>
        <v/>
      </c>
      <c r="H956" s="45" t="str">
        <f aca="false">IF(AND(G953&lt;0,H953&gt;=0),Inputs!H$6-1+(-G953)/H952,"")</f>
        <v/>
      </c>
      <c r="I956" s="45" t="str">
        <f aca="false">IF(AND(H953&lt;0,I953&gt;=0),Inputs!I$6-1+(-H953)/I952,"")</f>
        <v/>
      </c>
      <c r="J956" s="45" t="str">
        <f aca="false">IF(AND(I953&lt;0,J953&gt;=0),Inputs!J$6-1+(-I953)/J952,"")</f>
        <v/>
      </c>
      <c r="K956" s="45" t="n">
        <f aca="false">IF(AND(J953&lt;0,K953&gt;=0),Inputs!K$6-1+(-J953)/K952,"")</f>
        <v>7.28959981728715</v>
      </c>
      <c r="L956" s="45" t="str">
        <f aca="false">IF(AND(K953&lt;0,L953&gt;=0),Inputs!L$6-1+(-K953)/L952,"")</f>
        <v/>
      </c>
      <c r="M956" s="45" t="str">
        <f aca="false">IF(AND(L953&lt;0,M953&gt;=0),Inputs!M$6-1+(-L953)/M952,"")</f>
        <v/>
      </c>
    </row>
    <row r="957" customFormat="false" ht="15" hidden="false" customHeight="false" outlineLevel="0" collapsed="false">
      <c r="A957" s="26" t="s">
        <v>232</v>
      </c>
      <c r="B957" s="36" t="s">
        <v>69</v>
      </c>
      <c r="D957" s="45" t="str">
        <f aca="false">IF(AND(C955&lt;0,D955&gt;=0),Inputs!D$6-1+(-C955)/D954,"")</f>
        <v/>
      </c>
      <c r="E957" s="45" t="str">
        <f aca="false">IF(AND(D955&lt;0,E955&gt;=0),Inputs!E$6-1+(-D955)/E954,"")</f>
        <v/>
      </c>
      <c r="F957" s="45" t="str">
        <f aca="false">IF(AND(E955&lt;0,F955&gt;=0),Inputs!F$6-1+(-E955)/F954,"")</f>
        <v/>
      </c>
      <c r="G957" s="45" t="str">
        <f aca="false">IF(AND(F955&lt;0,G955&gt;=0),Inputs!G$6-1+(-F955)/G954,"")</f>
        <v/>
      </c>
      <c r="H957" s="45" t="str">
        <f aca="false">IF(AND(G955&lt;0,H955&gt;=0),Inputs!H$6-1+(-G955)/H954,"")</f>
        <v/>
      </c>
      <c r="I957" s="45" t="str">
        <f aca="false">IF(AND(H955&lt;0,I955&gt;=0),Inputs!I$6-1+(-H955)/I954,"")</f>
        <v/>
      </c>
      <c r="J957" s="45" t="str">
        <f aca="false">IF(AND(I955&lt;0,J955&gt;=0),Inputs!J$6-1+(-I955)/J954,"")</f>
        <v/>
      </c>
      <c r="K957" s="45" t="str">
        <f aca="false">IF(AND(J955&lt;0,K955&gt;=0),Inputs!K$6-1+(-J955)/K954,"")</f>
        <v/>
      </c>
      <c r="L957" s="45" t="str">
        <f aca="false">IF(AND(K955&lt;0,L955&gt;=0),Inputs!L$6-1+(-K955)/L954,"")</f>
        <v/>
      </c>
      <c r="M957" s="45" t="str">
        <f aca="false">IF(AND(L955&lt;0,M955&gt;=0),Inputs!M$6-1+(-L955)/M954,"")</f>
        <v/>
      </c>
    </row>
    <row r="958" customFormat="false" ht="15" hidden="false" customHeight="false" outlineLevel="0" collapsed="false">
      <c r="A958" s="9" t="s">
        <v>233</v>
      </c>
      <c r="B958" s="36" t="s">
        <v>55</v>
      </c>
      <c r="C958" s="43" t="n">
        <f aca="false">NPV(Inputs!$C$50,D952:M952)+C952</f>
        <v>-70.7546339235798</v>
      </c>
    </row>
    <row r="959" customFormat="false" ht="15" hidden="false" customHeight="false" outlineLevel="0" collapsed="false">
      <c r="A959" s="9" t="s">
        <v>23</v>
      </c>
      <c r="B959" s="36" t="s">
        <v>62</v>
      </c>
      <c r="C959" s="46" t="n">
        <f aca="false">IRR(C952:M952)</f>
        <v>0.0933783970135596</v>
      </c>
    </row>
    <row r="960" customFormat="false" ht="15" hidden="false" customHeight="false" outlineLevel="0" collapsed="false">
      <c r="A960" s="9" t="s">
        <v>234</v>
      </c>
      <c r="B960" s="36" t="s">
        <v>104</v>
      </c>
      <c r="C960" s="44" t="n">
        <f aca="false">SUMIF(C954:M954,"&gt;0")/-SUMIF(C954:M954,"&lt;0")</f>
        <v>0.914686127095986</v>
      </c>
    </row>
    <row r="961" customFormat="false" ht="15" hidden="false" customHeight="false" outlineLevel="0" collapsed="false">
      <c r="A961" s="9" t="s">
        <v>235</v>
      </c>
      <c r="B961" s="36" t="s">
        <v>69</v>
      </c>
      <c r="C961" s="47" t="n">
        <f aca="false">IF(COUNT(D956:M956)=0,"Beyond Year 10",MIN(D956:M956))</f>
        <v>7.28959981728715</v>
      </c>
    </row>
    <row r="962" customFormat="false" ht="15" hidden="false" customHeight="false" outlineLevel="0" collapsed="false">
      <c r="A962" s="9" t="s">
        <v>35</v>
      </c>
      <c r="B962" s="36" t="s">
        <v>69</v>
      </c>
      <c r="C962" s="47" t="str">
        <f aca="false">IF(COUNT(D957:M957)=0,"Beyond Year 10",MIN(D957:M957))</f>
        <v>Beyond Year 10</v>
      </c>
    </row>
    <row r="964" customFormat="false" ht="15" hidden="false" customHeight="false" outlineLevel="0" collapsed="false">
      <c r="A964" s="24" t="s">
        <v>236</v>
      </c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</row>
    <row r="965" customFormat="false" ht="15" hidden="false" customHeight="false" outlineLevel="0" collapsed="false">
      <c r="A965" s="9" t="s">
        <v>237</v>
      </c>
      <c r="B965" s="36" t="s">
        <v>55</v>
      </c>
      <c r="C965" s="43" t="n">
        <f aca="false">-C854</f>
        <v>-338.938</v>
      </c>
      <c r="D965" s="43" t="n">
        <f aca="false">D920-D899</f>
        <v>11.639510260274</v>
      </c>
      <c r="E965" s="43" t="n">
        <f aca="false">E920-E899</f>
        <v>48.8483916643836</v>
      </c>
      <c r="F965" s="43" t="n">
        <f aca="false">F920-F899</f>
        <v>0.835732125412918</v>
      </c>
      <c r="G965" s="43" t="n">
        <f aca="false">G920-G899</f>
        <v>17.730262194812</v>
      </c>
      <c r="H965" s="43" t="n">
        <f aca="false">H920-H899</f>
        <v>29.0917310443438</v>
      </c>
      <c r="I965" s="43" t="n">
        <f aca="false">I920-I899</f>
        <v>41.2220578909345</v>
      </c>
      <c r="J965" s="43" t="n">
        <f aca="false">J920-J899</f>
        <v>51.9612954670503</v>
      </c>
      <c r="K965" s="43" t="n">
        <f aca="false">K920-K899</f>
        <v>62.0560548545674</v>
      </c>
      <c r="L965" s="43" t="n">
        <f aca="false">L920-L899</f>
        <v>72.2593207272079</v>
      </c>
      <c r="M965" s="43" t="n">
        <f aca="false">M920-M899+C849+M888*Inputs!$C$52+M893</f>
        <v>396.584005342802</v>
      </c>
    </row>
    <row r="966" customFormat="false" ht="15" hidden="false" customHeight="false" outlineLevel="0" collapsed="false">
      <c r="A966" s="9" t="s">
        <v>238</v>
      </c>
      <c r="B966" s="36" t="s">
        <v>55</v>
      </c>
      <c r="C966" s="43" t="n">
        <f aca="false">NPV(Inputs!$C$51,D965:M965)+C965</f>
        <v>-74.4728892020376</v>
      </c>
    </row>
    <row r="967" customFormat="false" ht="15" hidden="false" customHeight="false" outlineLevel="0" collapsed="false">
      <c r="A967" s="9" t="s">
        <v>27</v>
      </c>
      <c r="B967" s="36" t="s">
        <v>62</v>
      </c>
      <c r="C967" s="46" t="n">
        <f aca="false">IRR(C965:M965)</f>
        <v>0.102245099653321</v>
      </c>
    </row>
    <row r="969" customFormat="false" ht="15" hidden="false" customHeight="false" outlineLevel="0" collapsed="false">
      <c r="A969" s="24" t="s">
        <v>239</v>
      </c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</row>
    <row r="970" customFormat="false" ht="15" hidden="false" customHeight="false" outlineLevel="0" collapsed="false">
      <c r="A970" s="26" t="s">
        <v>240</v>
      </c>
      <c r="B970" s="36" t="s">
        <v>55</v>
      </c>
      <c r="D970" s="37" t="n">
        <f aca="false">D868-D879</f>
        <v>134.3947</v>
      </c>
      <c r="E970" s="37" t="n">
        <f aca="false">E868-E879</f>
        <v>164.9048115</v>
      </c>
      <c r="F970" s="37" t="n">
        <f aca="false">F868-F879</f>
        <v>197.548369425</v>
      </c>
      <c r="G970" s="37" t="n">
        <f aca="false">G868-G879</f>
        <v>218.7690982488</v>
      </c>
      <c r="H970" s="37" t="n">
        <f aca="false">H868-H879</f>
        <v>227.123074633752</v>
      </c>
      <c r="I970" s="37" t="n">
        <f aca="false">I868-I879</f>
        <v>241.686154964273</v>
      </c>
      <c r="J970" s="37" t="n">
        <f aca="false">J868-J879</f>
        <v>250.905206437773</v>
      </c>
      <c r="K970" s="37" t="n">
        <f aca="false">K868-K879</f>
        <v>260.470600233959</v>
      </c>
      <c r="L970" s="37" t="n">
        <f aca="false">L868-L879</f>
        <v>270.395069058926</v>
      </c>
      <c r="M970" s="37" t="n">
        <f aca="false">M868-M879</f>
        <v>280.691798877672</v>
      </c>
    </row>
    <row r="971" customFormat="false" ht="15" hidden="false" customHeight="false" outlineLevel="0" collapsed="false">
      <c r="A971" s="26" t="s">
        <v>241</v>
      </c>
      <c r="B971" s="36" t="s">
        <v>62</v>
      </c>
      <c r="D971" s="40" t="n">
        <f aca="false">D863*(D880+D887+D898)/D970</f>
        <v>0.639834514679523</v>
      </c>
      <c r="E971" s="40" t="n">
        <f aca="false">E863*(E880+E887+E898)/E970</f>
        <v>0.626540420562562</v>
      </c>
      <c r="F971" s="40" t="n">
        <f aca="false">F863*(F880+F887+F898)/F970</f>
        <v>0.613944296796871</v>
      </c>
      <c r="G971" s="40" t="n">
        <f aca="false">G863*(G880+G887+G898)/G970</f>
        <v>0.574136914058835</v>
      </c>
      <c r="H971" s="40" t="n">
        <f aca="false">H863*(H880+H887+H898)/H970</f>
        <v>0.537036103840565</v>
      </c>
      <c r="I971" s="40" t="n">
        <f aca="false">I863*(I880+I887+I898)/I970</f>
        <v>0.486085764298694</v>
      </c>
      <c r="J971" s="40" t="n">
        <f aca="false">J863*(J880+J887+J898)/J970</f>
        <v>0.454603673419745</v>
      </c>
      <c r="K971" s="40" t="n">
        <f aca="false">K863*(K880+K887+K898)/K970</f>
        <v>0.425420816349788</v>
      </c>
      <c r="L971" s="40" t="n">
        <f aca="false">L863*(L880+L887+L898)/L970</f>
        <v>0.398422200341459</v>
      </c>
      <c r="M971" s="40" t="n">
        <f aca="false">M863*(M880+M887+M898)/M970</f>
        <v>0.373498555031374</v>
      </c>
    </row>
    <row r="972" customFormat="false" ht="15" hidden="false" customHeight="false" outlineLevel="0" collapsed="false">
      <c r="A972" s="26" t="s">
        <v>242</v>
      </c>
      <c r="B972" s="36" t="s">
        <v>62</v>
      </c>
      <c r="D972" s="40" t="n">
        <f aca="false">D863*(D880+D898+D899)/D970</f>
        <v>0.448603759300032</v>
      </c>
      <c r="E972" s="40" t="n">
        <f aca="false">E863*(E880+E898+E899)/E970</f>
        <v>0.442354163510869</v>
      </c>
      <c r="F972" s="40" t="n">
        <f aca="false">F863*(F880+F898+F899)/F970</f>
        <v>0.712280611229492</v>
      </c>
      <c r="G972" s="40" t="n">
        <f aca="false">G863*(G880+G898+G899)/G970</f>
        <v>0.668854391566976</v>
      </c>
      <c r="H972" s="40" t="n">
        <f aca="false">H863*(H880+H898+H899)/H970</f>
        <v>0.628269710008812</v>
      </c>
      <c r="I972" s="40" t="n">
        <f aca="false">I863*(I880+I898+I899)/I970</f>
        <v>0.59038668536368</v>
      </c>
      <c r="J972" s="40" t="n">
        <f aca="false">J863*(J880+J898+J899)/J970</f>
        <v>0.555072248501627</v>
      </c>
      <c r="K972" s="40" t="n">
        <f aca="false">K863*(K880+K898+K899)/K970</f>
        <v>0.522199833055652</v>
      </c>
      <c r="L972" s="40" t="n">
        <f aca="false">L863*(L880+L898+L899)/L970</f>
        <v>0.49164908002962</v>
      </c>
      <c r="M972" s="40" t="n">
        <f aca="false">M863*(M880+M898+M899)/M970</f>
        <v>0.251128895008035</v>
      </c>
    </row>
    <row r="973" customFormat="false" ht="15" hidden="false" customHeight="false" outlineLevel="0" collapsed="false">
      <c r="A973" s="9" t="s">
        <v>243</v>
      </c>
      <c r="B973" s="36" t="s">
        <v>62</v>
      </c>
      <c r="C973" s="46" t="n">
        <f aca="false">INDEX(D971:M971,Inputs!$C$54)</f>
        <v>0.574136914058835</v>
      </c>
    </row>
    <row r="974" customFormat="false" ht="15" hidden="false" customHeight="false" outlineLevel="0" collapsed="false">
      <c r="A974" s="9" t="s">
        <v>244</v>
      </c>
      <c r="B974" s="36" t="s">
        <v>62</v>
      </c>
      <c r="C974" s="46" t="n">
        <f aca="false">INDEX(D972:M972,Inputs!$C$54)</f>
        <v>0.668854391566976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2026-10-20T20:48:31Z</dcterms:created>
  <dc:creator>openpyxl</dc:creator>
  <dc:description/>
  <dc:language>en-US</dc:language>
  <cp:lastModifiedBy/>
  <dcterms:modified xsi:type="dcterms:W3CDTF">2026-10-20T20:48:32Z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